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hidePivotFieldList="1"/>
  <mc:AlternateContent xmlns:mc="http://schemas.openxmlformats.org/markup-compatibility/2006">
    <mc:Choice Requires="x15">
      <x15ac:absPath xmlns:x15ac="http://schemas.microsoft.com/office/spreadsheetml/2010/11/ac" url="C:\Users\brozo\Documents\VIGENCIA ACTUAL 2025\Respuesta cuestionario Congres de la República\Respuesta cuestionario Congreso de la República 2025\"/>
    </mc:Choice>
  </mc:AlternateContent>
  <xr:revisionPtr revIDLastSave="0" documentId="13_ncr:1_{A39B657B-75E4-415B-ABE3-7B39C8234D00}" xr6:coauthVersionLast="47" xr6:coauthVersionMax="47" xr10:uidLastSave="{00000000-0000-0000-0000-000000000000}"/>
  <bookViews>
    <workbookView xWindow="-120" yWindow="-120" windowWidth="29040" windowHeight="15720" activeTab="3" xr2:uid="{00000000-000D-0000-FFFF-FFFF00000000}"/>
  </bookViews>
  <sheets>
    <sheet name="Apropiación presupuestal 2025" sheetId="43" r:id="rId1"/>
    <sheet name="FORMULARIO 2 GASTOS" sheetId="12" r:id="rId2"/>
    <sheet name="FORMULARIO 1.1  INGRESOS" sheetId="6" r:id="rId3"/>
    <sheet name="FORMULARIO 1.1 A INGRESOS" sheetId="7" r:id="rId4"/>
  </sheets>
  <externalReferences>
    <externalReference r:id="rId5"/>
  </externalReferences>
  <definedNames>
    <definedName name="_xlnm.Print_Titles" localSheetId="2">'FORMULARIO 1.1  INGRESOS'!$1:$8</definedName>
    <definedName name="_xlnm.Print_Titles" localSheetId="3">'FORMULARIO 1.1 A INGRESOS'!$1:$13</definedName>
    <definedName name="_xlnm.Print_Titles" localSheetId="1">'FORMULARIO 2 GASTOS'!$1:$9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19" i="12" l="1"/>
  <c r="L142" i="12" l="1"/>
  <c r="L141" i="12" s="1"/>
  <c r="L144" i="12" s="1"/>
  <c r="L107" i="12" s="1"/>
  <c r="L108" i="12" s="1"/>
  <c r="K142" i="12"/>
  <c r="K141" i="12" s="1"/>
  <c r="K144" i="12" s="1"/>
  <c r="L125" i="12"/>
  <c r="L124" i="12" s="1"/>
  <c r="K125" i="12"/>
  <c r="K124" i="12" s="1"/>
  <c r="L118" i="12"/>
  <c r="K119" i="12"/>
  <c r="K118" i="12" s="1"/>
  <c r="L115" i="12"/>
  <c r="L114" i="12" s="1"/>
  <c r="K115" i="12"/>
  <c r="K114" i="12" s="1"/>
  <c r="K107" i="12"/>
  <c r="K108" i="12" s="1"/>
  <c r="K105" i="12"/>
  <c r="L104" i="12"/>
  <c r="L97" i="12"/>
  <c r="K97" i="12"/>
  <c r="L94" i="12"/>
  <c r="L92" i="12" s="1"/>
  <c r="K92" i="12"/>
  <c r="L84" i="12"/>
  <c r="L83" i="12" s="1"/>
  <c r="K84" i="12"/>
  <c r="K83" i="12" s="1"/>
  <c r="L78" i="12"/>
  <c r="L77" i="12" s="1"/>
  <c r="K78" i="12"/>
  <c r="K77" i="12" s="1"/>
  <c r="L75" i="12"/>
  <c r="L74" i="12" s="1"/>
  <c r="K75" i="12"/>
  <c r="K74" i="12" s="1"/>
  <c r="L71" i="12"/>
  <c r="L70" i="12"/>
  <c r="K70" i="12"/>
  <c r="L69" i="12"/>
  <c r="L68" i="12"/>
  <c r="L67" i="12"/>
  <c r="K65" i="12"/>
  <c r="K63" i="12"/>
  <c r="K62" i="12" s="1"/>
  <c r="L62" i="12"/>
  <c r="L60" i="12"/>
  <c r="K60" i="12"/>
  <c r="L59" i="12"/>
  <c r="L58" i="12" s="1"/>
  <c r="K58" i="12"/>
  <c r="L54" i="12"/>
  <c r="L53" i="12"/>
  <c r="K53" i="12"/>
  <c r="K52" i="12"/>
  <c r="K51" i="12"/>
  <c r="L48" i="12"/>
  <c r="L46" i="12" s="1"/>
  <c r="K46" i="12"/>
  <c r="L45" i="12"/>
  <c r="L44" i="12" s="1"/>
  <c r="K44" i="12"/>
  <c r="L38" i="12"/>
  <c r="K38" i="12"/>
  <c r="L36" i="12"/>
  <c r="K36" i="12"/>
  <c r="L35" i="12"/>
  <c r="L26" i="12" s="1"/>
  <c r="K26" i="12"/>
  <c r="L25" i="12"/>
  <c r="L23" i="12" s="1"/>
  <c r="K23" i="12"/>
  <c r="L16" i="12"/>
  <c r="K16" i="12"/>
  <c r="L14" i="12"/>
  <c r="K13" i="12"/>
  <c r="K12" i="12" s="1"/>
  <c r="K11" i="12" s="1"/>
  <c r="L52" i="12" l="1"/>
  <c r="L51" i="12" s="1"/>
  <c r="K82" i="12"/>
  <c r="L65" i="12"/>
  <c r="L57" i="12" s="1"/>
  <c r="K22" i="12"/>
  <c r="L22" i="12"/>
  <c r="K57" i="12"/>
  <c r="K43" i="12" s="1"/>
  <c r="K73" i="12"/>
  <c r="L73" i="12"/>
  <c r="L13" i="12"/>
  <c r="L12" i="12" s="1"/>
  <c r="L11" i="12" s="1"/>
  <c r="L82" i="12"/>
  <c r="K136" i="12"/>
  <c r="K146" i="12" s="1"/>
  <c r="L136" i="12"/>
  <c r="O45" i="6"/>
  <c r="G16" i="6"/>
  <c r="L43" i="12" l="1"/>
  <c r="L21" i="12" s="1"/>
  <c r="L10" i="12" s="1"/>
  <c r="L95" i="12" s="1"/>
  <c r="L103" i="12" s="1"/>
  <c r="L106" i="12" s="1"/>
  <c r="L109" i="12" s="1"/>
  <c r="K21" i="12"/>
  <c r="K10" i="12" s="1"/>
  <c r="K95" i="12" s="1"/>
  <c r="K103" i="12" s="1"/>
  <c r="K106" i="12" s="1"/>
  <c r="K109" i="12" s="1"/>
  <c r="L146" i="12"/>
  <c r="AI30" i="7"/>
  <c r="AI37" i="7"/>
  <c r="AI55" i="7"/>
  <c r="AI49" i="7"/>
  <c r="I17" i="6" l="1"/>
  <c r="AB42" i="7"/>
  <c r="X34" i="7"/>
  <c r="AH34" i="7"/>
  <c r="AI34" i="7" s="1"/>
  <c r="AI51" i="7"/>
  <c r="AI52" i="7" s="1"/>
  <c r="I15" i="6" s="1"/>
  <c r="J15" i="6" s="1"/>
  <c r="X31" i="7" l="1"/>
  <c r="AH19" i="7"/>
  <c r="AI19" i="7" s="1"/>
  <c r="X20" i="7" l="1"/>
  <c r="X19" i="7"/>
  <c r="AA59" i="7"/>
  <c r="AA60" i="7" s="1"/>
  <c r="AA35" i="7" l="1"/>
  <c r="S51" i="7" l="1"/>
  <c r="AH16" i="7"/>
  <c r="AH42" i="7"/>
  <c r="AI42" i="7" s="1"/>
  <c r="AH40" i="7"/>
  <c r="AH58" i="7"/>
  <c r="AH57" i="7"/>
  <c r="AH56" i="7"/>
  <c r="AI56" i="7" s="1"/>
  <c r="AH33" i="7"/>
  <c r="AI33" i="7" s="1"/>
  <c r="AH31" i="7"/>
  <c r="AI31" i="7" s="1"/>
  <c r="AH26" i="7"/>
  <c r="AH24" i="7"/>
  <c r="AH20" i="7"/>
  <c r="AI26" i="7" l="1"/>
  <c r="AI28" i="7" s="1"/>
  <c r="AI58" i="7"/>
  <c r="I20" i="6" s="1"/>
  <c r="AI57" i="7"/>
  <c r="AI20" i="7"/>
  <c r="AI21" i="7" s="1"/>
  <c r="AI24" i="7"/>
  <c r="AI25" i="7" s="1"/>
  <c r="AI40" i="7"/>
  <c r="AI45" i="7" s="1"/>
  <c r="I18" i="6"/>
  <c r="AI35" i="7"/>
  <c r="AI59" i="7" l="1"/>
  <c r="AI60" i="7" s="1"/>
  <c r="I16" i="6" s="1"/>
  <c r="J16" i="6" s="1"/>
  <c r="I19" i="6"/>
  <c r="AI46" i="7"/>
  <c r="I14" i="6" s="1"/>
  <c r="J14" i="6" s="1"/>
  <c r="M156" i="43"/>
  <c r="L156" i="43"/>
  <c r="M154" i="43"/>
  <c r="L154" i="43"/>
  <c r="M152" i="43"/>
  <c r="L152" i="43"/>
  <c r="M141" i="43"/>
  <c r="L141" i="43"/>
  <c r="M139" i="43"/>
  <c r="L139" i="43"/>
  <c r="M137" i="43"/>
  <c r="M110" i="43" s="1"/>
  <c r="M109" i="43" s="1"/>
  <c r="M133" i="43"/>
  <c r="M132" i="43" s="1"/>
  <c r="L133" i="43"/>
  <c r="L132" i="43" s="1"/>
  <c r="M130" i="43"/>
  <c r="L130" i="43"/>
  <c r="M128" i="43"/>
  <c r="L128" i="43"/>
  <c r="M126" i="43"/>
  <c r="L126" i="43"/>
  <c r="M123" i="43"/>
  <c r="L123" i="43"/>
  <c r="M120" i="43"/>
  <c r="L120" i="43"/>
  <c r="L119" i="43" s="1"/>
  <c r="M119" i="43"/>
  <c r="M115" i="43"/>
  <c r="L115" i="43"/>
  <c r="M113" i="43"/>
  <c r="L113" i="43"/>
  <c r="M111" i="43"/>
  <c r="L111" i="43"/>
  <c r="L110" i="43"/>
  <c r="L109" i="43" s="1"/>
  <c r="M106" i="43"/>
  <c r="L106" i="43"/>
  <c r="M104" i="43"/>
  <c r="L104" i="43"/>
  <c r="M102" i="43"/>
  <c r="M97" i="43"/>
  <c r="L93" i="43"/>
  <c r="L92" i="43" s="1"/>
  <c r="M88" i="43"/>
  <c r="L88" i="43"/>
  <c r="M86" i="43"/>
  <c r="L86" i="43"/>
  <c r="M83" i="43"/>
  <c r="M82" i="43" s="1"/>
  <c r="L83" i="43"/>
  <c r="L82" i="43" s="1"/>
  <c r="M77" i="43"/>
  <c r="L77" i="43"/>
  <c r="M73" i="43"/>
  <c r="L73" i="43"/>
  <c r="M68" i="43"/>
  <c r="L68" i="43"/>
  <c r="M65" i="43"/>
  <c r="M64" i="43"/>
  <c r="L63" i="43"/>
  <c r="L62" i="43" s="1"/>
  <c r="M62" i="43"/>
  <c r="M60" i="43"/>
  <c r="M59" i="43" s="1"/>
  <c r="M58" i="43" s="1"/>
  <c r="L60" i="43"/>
  <c r="L59" i="43" s="1"/>
  <c r="M56" i="43"/>
  <c r="M55" i="43" s="1"/>
  <c r="L56" i="43"/>
  <c r="L55" i="43" s="1"/>
  <c r="M54" i="43"/>
  <c r="L54" i="43"/>
  <c r="M53" i="43"/>
  <c r="L53" i="43"/>
  <c r="M49" i="43"/>
  <c r="L49" i="43"/>
  <c r="M48" i="43"/>
  <c r="L48" i="43"/>
  <c r="N48" i="43" s="1"/>
  <c r="M44" i="43"/>
  <c r="L44" i="43"/>
  <c r="M43" i="43"/>
  <c r="L43" i="43"/>
  <c r="L42" i="43" s="1"/>
  <c r="M42" i="43"/>
  <c r="M40" i="43"/>
  <c r="L40" i="43"/>
  <c r="M39" i="43"/>
  <c r="L39" i="43"/>
  <c r="M36" i="43"/>
  <c r="L36" i="43"/>
  <c r="M35" i="43"/>
  <c r="L35" i="43"/>
  <c r="M32" i="43"/>
  <c r="M31" i="43" s="1"/>
  <c r="L32" i="43"/>
  <c r="L31" i="43" s="1"/>
  <c r="M28" i="43"/>
  <c r="L28" i="43"/>
  <c r="M27" i="43"/>
  <c r="M26" i="43" s="1"/>
  <c r="L27" i="43"/>
  <c r="N27" i="43" s="1"/>
  <c r="M25" i="43"/>
  <c r="L25" i="43"/>
  <c r="M24" i="43"/>
  <c r="L24" i="43"/>
  <c r="N24" i="43" s="1"/>
  <c r="M23" i="43"/>
  <c r="L23" i="43"/>
  <c r="M22" i="43"/>
  <c r="L22" i="43"/>
  <c r="M21" i="43"/>
  <c r="L21" i="43"/>
  <c r="N21" i="43" s="1"/>
  <c r="L20" i="43"/>
  <c r="N20" i="43" s="1"/>
  <c r="M19" i="43"/>
  <c r="L19" i="43"/>
  <c r="N19" i="43" s="1"/>
  <c r="M18" i="43"/>
  <c r="L18" i="43"/>
  <c r="N18" i="43" s="1"/>
  <c r="L16" i="43"/>
  <c r="M15" i="43"/>
  <c r="M14" i="43" s="1"/>
  <c r="L15" i="43"/>
  <c r="M11" i="43"/>
  <c r="L11" i="43"/>
  <c r="M10" i="43"/>
  <c r="L10" i="43"/>
  <c r="M9" i="43"/>
  <c r="L9" i="43"/>
  <c r="M7" i="43"/>
  <c r="M6" i="43"/>
  <c r="L6" i="43"/>
  <c r="N23" i="43" l="1"/>
  <c r="L38" i="43"/>
  <c r="N35" i="43"/>
  <c r="AI16" i="7"/>
  <c r="M47" i="43"/>
  <c r="M93" i="43"/>
  <c r="M92" i="43" s="1"/>
  <c r="L33" i="43"/>
  <c r="N11" i="43"/>
  <c r="M67" i="43"/>
  <c r="L8" i="43"/>
  <c r="L5" i="43" s="1"/>
  <c r="L4" i="43" s="1"/>
  <c r="M8" i="43"/>
  <c r="N7" i="43" s="1"/>
  <c r="L67" i="43"/>
  <c r="N28" i="43"/>
  <c r="M160" i="43"/>
  <c r="M38" i="43"/>
  <c r="L50" i="43"/>
  <c r="M50" i="43"/>
  <c r="L17" i="43"/>
  <c r="N36" i="43"/>
  <c r="M17" i="43"/>
  <c r="M13" i="43" s="1"/>
  <c r="N43" i="43"/>
  <c r="L160" i="43"/>
  <c r="N10" i="43"/>
  <c r="L47" i="43"/>
  <c r="M33" i="43"/>
  <c r="N15" i="43"/>
  <c r="N22" i="43"/>
  <c r="L58" i="43"/>
  <c r="N9" i="43"/>
  <c r="L14" i="43"/>
  <c r="L26" i="43"/>
  <c r="N49" i="43"/>
  <c r="M41" i="43" l="1"/>
  <c r="M30" i="43"/>
  <c r="M12" i="43" s="1"/>
  <c r="L41" i="43"/>
  <c r="L30" i="43" s="1"/>
  <c r="M5" i="43"/>
  <c r="M4" i="43" s="1"/>
  <c r="L13" i="43"/>
  <c r="L12" i="43" l="1"/>
  <c r="L3" i="43" s="1"/>
  <c r="M3" i="43"/>
  <c r="M80" i="43" s="1"/>
  <c r="M161" i="43" s="1"/>
  <c r="L80" i="43"/>
  <c r="L161" i="43" s="1"/>
  <c r="AA51" i="7" l="1"/>
  <c r="AB58" i="7"/>
  <c r="AB57" i="7"/>
  <c r="AB56" i="7"/>
  <c r="AB40" i="7"/>
  <c r="AB37" i="7"/>
  <c r="AB33" i="7"/>
  <c r="AB31" i="7"/>
  <c r="AB26" i="7"/>
  <c r="AB24" i="7"/>
  <c r="AB20" i="7"/>
  <c r="AB19" i="7"/>
  <c r="H41" i="6" l="1"/>
  <c r="G22" i="6"/>
  <c r="H22" i="6" s="1"/>
  <c r="H23" i="6"/>
  <c r="AD44" i="7" l="1"/>
  <c r="AD43" i="7"/>
  <c r="AD32" i="7"/>
  <c r="AE32" i="7" s="1"/>
  <c r="I32" i="6"/>
  <c r="J32" i="6" s="1"/>
  <c r="I31" i="6"/>
  <c r="J31" i="6" s="1"/>
  <c r="J30" i="6" s="1"/>
  <c r="J20" i="6"/>
  <c r="J19" i="6"/>
  <c r="J18" i="6"/>
  <c r="AD41" i="7"/>
  <c r="AE28" i="7"/>
  <c r="AE25" i="7"/>
  <c r="H20" i="6"/>
  <c r="H18" i="6"/>
  <c r="H19" i="6"/>
  <c r="X58" i="7"/>
  <c r="X57" i="7"/>
  <c r="X56" i="7"/>
  <c r="X42" i="7"/>
  <c r="X40" i="7"/>
  <c r="X37" i="7"/>
  <c r="X33" i="7"/>
  <c r="X26" i="7"/>
  <c r="X24" i="7"/>
  <c r="T58" i="7"/>
  <c r="T56" i="7"/>
  <c r="P58" i="7"/>
  <c r="P56" i="7"/>
  <c r="P42" i="7"/>
  <c r="P40" i="7"/>
  <c r="P31" i="7"/>
  <c r="P26" i="7"/>
  <c r="P24" i="7"/>
  <c r="P20" i="7"/>
  <c r="P19" i="7"/>
  <c r="S35" i="7"/>
  <c r="S21" i="7"/>
  <c r="T42" i="7"/>
  <c r="T40" i="7"/>
  <c r="T37" i="7"/>
  <c r="T33" i="7"/>
  <c r="T31" i="7"/>
  <c r="T26" i="7"/>
  <c r="T24" i="7"/>
  <c r="T20" i="7"/>
  <c r="T19" i="7"/>
  <c r="AA28" i="7"/>
  <c r="AA25" i="7"/>
  <c r="W51" i="7"/>
  <c r="W52" i="7" s="1"/>
  <c r="O21" i="7"/>
  <c r="L20" i="7"/>
  <c r="L19" i="7"/>
  <c r="L24" i="7"/>
  <c r="O25" i="7"/>
  <c r="L26" i="7"/>
  <c r="O28" i="7"/>
  <c r="L31" i="7"/>
  <c r="L33" i="7"/>
  <c r="O35" i="7"/>
  <c r="L37" i="7"/>
  <c r="L40" i="7"/>
  <c r="L42" i="7"/>
  <c r="O45" i="7"/>
  <c r="O59" i="7"/>
  <c r="O60" i="7" s="1"/>
  <c r="W28" i="7"/>
  <c r="W25" i="7"/>
  <c r="R33" i="7"/>
  <c r="P33" i="7" s="1"/>
  <c r="S52" i="7"/>
  <c r="S41" i="7"/>
  <c r="S45" i="7" s="1"/>
  <c r="J51" i="7"/>
  <c r="B19" i="7"/>
  <c r="G19" i="7"/>
  <c r="E21" i="7"/>
  <c r="J21" i="7"/>
  <c r="B24" i="7"/>
  <c r="G24" i="7"/>
  <c r="S25" i="7"/>
  <c r="E25" i="7"/>
  <c r="J25" i="7"/>
  <c r="B26" i="7"/>
  <c r="G26" i="7"/>
  <c r="S28" i="7"/>
  <c r="E28" i="7"/>
  <c r="J28" i="7"/>
  <c r="B31" i="7"/>
  <c r="G31" i="7"/>
  <c r="B33" i="7"/>
  <c r="G33" i="7"/>
  <c r="E35" i="7"/>
  <c r="J35" i="7"/>
  <c r="B37" i="7"/>
  <c r="G37" i="7"/>
  <c r="B40" i="7"/>
  <c r="G40" i="7"/>
  <c r="G41" i="7"/>
  <c r="G42" i="7"/>
  <c r="E45" i="7"/>
  <c r="J45" i="7"/>
  <c r="O51" i="7"/>
  <c r="O52" i="7" s="1"/>
  <c r="E52" i="7"/>
  <c r="G56" i="7"/>
  <c r="G57" i="7"/>
  <c r="J59" i="7"/>
  <c r="J60" i="7" s="1"/>
  <c r="G25" i="6"/>
  <c r="I25" i="6"/>
  <c r="H26" i="6"/>
  <c r="H25" i="6" s="1"/>
  <c r="J26" i="6"/>
  <c r="J25" i="6" s="1"/>
  <c r="G30" i="6"/>
  <c r="H31" i="6"/>
  <c r="H30" i="6" s="1"/>
  <c r="H32" i="6"/>
  <c r="J52" i="7"/>
  <c r="S59" i="7"/>
  <c r="S60" i="7" s="1"/>
  <c r="W45" i="7"/>
  <c r="W59" i="7"/>
  <c r="W60" i="7" s="1"/>
  <c r="W21" i="7"/>
  <c r="W35" i="7"/>
  <c r="AA21" i="7"/>
  <c r="AA45" i="7"/>
  <c r="AE51" i="7"/>
  <c r="AE52" i="7" s="1"/>
  <c r="H17" i="6"/>
  <c r="G24" i="6" l="1"/>
  <c r="G42" i="6" s="1"/>
  <c r="H42" i="6" s="1"/>
  <c r="I30" i="6"/>
  <c r="I24" i="6" s="1"/>
  <c r="I42" i="6" s="1"/>
  <c r="H24" i="6"/>
  <c r="AE45" i="7"/>
  <c r="O46" i="7"/>
  <c r="O16" i="7" s="1"/>
  <c r="AA46" i="7"/>
  <c r="H14" i="6" s="1"/>
  <c r="W46" i="7"/>
  <c r="W16" i="7" s="1"/>
  <c r="S46" i="7"/>
  <c r="S16" i="7" s="1"/>
  <c r="E46" i="7"/>
  <c r="E16" i="7" s="1"/>
  <c r="J46" i="7"/>
  <c r="J16" i="7" s="1"/>
  <c r="H16" i="6"/>
  <c r="AE59" i="7"/>
  <c r="AE60" i="7" s="1"/>
  <c r="AE35" i="7"/>
  <c r="J24" i="6"/>
  <c r="J42" i="6" s="1"/>
  <c r="AA52" i="7"/>
  <c r="H15" i="6" s="1"/>
  <c r="AA16" i="7" l="1"/>
  <c r="G13" i="6"/>
  <c r="G12" i="6" s="1"/>
  <c r="G40" i="6" s="1"/>
  <c r="H40" i="6" s="1"/>
  <c r="H13" i="6"/>
  <c r="H12" i="6" s="1"/>
  <c r="J17" i="6"/>
  <c r="J34" i="6" l="1"/>
  <c r="J45" i="6"/>
  <c r="G33" i="6"/>
  <c r="G39" i="6"/>
  <c r="H39" i="6"/>
  <c r="H33" i="6"/>
  <c r="AE21" i="7" l="1"/>
  <c r="AE46" i="7" s="1"/>
  <c r="AE16" i="7" l="1"/>
  <c r="I13" i="6"/>
  <c r="I12" i="6" s="1"/>
  <c r="I40" i="6" s="1"/>
  <c r="J40" i="6" s="1"/>
  <c r="J13" i="6"/>
  <c r="J12" i="6" s="1"/>
  <c r="I33" i="6" l="1"/>
  <c r="I34" i="6" s="1"/>
  <c r="I39" i="6"/>
  <c r="J39" i="6"/>
  <c r="J44" i="6" s="1"/>
  <c r="J46" i="6" s="1"/>
  <c r="L49" i="6" s="1"/>
  <c r="J33" i="6"/>
  <c r="J35" i="6" s="1"/>
  <c r="L35"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DIRECCION FINANCIERA</author>
  </authors>
  <commentList>
    <comment ref="M71" authorId="0" shapeId="0" xr:uid="{00000000-0006-0000-0000-000001000000}">
      <text>
        <r>
          <rPr>
            <b/>
            <sz val="9"/>
            <color indexed="81"/>
            <rFont val="Tahoma"/>
            <family val="2"/>
          </rPr>
          <t>$ 20.000.000 DISTRIBUIDOS ASI: 5.000.000 PAGO DE IMPUESTOS LEGALIZACION DE CONSTRUCIONES 
5.000.000 GASTOS INHERENTES AL SANEAMIENTO DE BIENES INMUEBLES FRR &amp; RNEC</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Balvina Rozo Millan</author>
  </authors>
  <commentList>
    <comment ref="I26" authorId="0" shapeId="0" xr:uid="{00000000-0006-0000-0300-000001000000}">
      <text>
        <r>
          <rPr>
            <sz val="8"/>
            <color indexed="81"/>
            <rFont val="Tahoma"/>
            <family val="2"/>
          </rPr>
          <t xml:space="preserve">Balvina Rozo Millán
</t>
        </r>
        <r>
          <rPr>
            <sz val="7"/>
            <color indexed="81"/>
            <rFont val="Tahoma"/>
            <family val="2"/>
          </rPr>
          <t>Presupuesto enviado por la Dirección Financiera (correo electrónico del 13/03/2025)</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ciquintero</author>
    <author>Balvina Rozo Millan</author>
    <author>tc={A4A90FDC-2D29-48A9-AE5B-B7A535E36D52}</author>
    <author>lenovo-pc</author>
    <author>Sonia Fajardo Medina</author>
    <author>USUARIO</author>
  </authors>
  <commentList>
    <comment ref="E9" authorId="0" shapeId="0" xr:uid="{00000000-0006-0000-0400-000001000000}">
      <text>
        <r>
          <rPr>
            <b/>
            <sz val="8"/>
            <color indexed="81"/>
            <rFont val="Tahoma"/>
            <family val="2"/>
          </rPr>
          <t>ciquintero:</t>
        </r>
        <r>
          <rPr>
            <sz val="8"/>
            <color indexed="81"/>
            <rFont val="Tahoma"/>
            <family val="2"/>
          </rPr>
          <t xml:space="preserve">
proyección 2014 DE ACUERDO CON LA CIRCULAR DEL MHCP</t>
        </r>
      </text>
    </comment>
    <comment ref="N19" authorId="1" shapeId="0" xr:uid="{00000000-0006-0000-0400-000002000000}">
      <text>
        <r>
          <rPr>
            <b/>
            <sz val="9"/>
            <color indexed="81"/>
            <rFont val="Tahoma"/>
            <family val="2"/>
          </rPr>
          <t>Balvina Rozo Millán:</t>
        </r>
        <r>
          <rPr>
            <sz val="9"/>
            <color indexed="81"/>
            <rFont val="Tahoma"/>
            <family val="2"/>
          </rPr>
          <t xml:space="preserve">
Para toda la proyección 2021, se ajustan las tarifas de acuerdo a la Resolución No. 1656 del 24 de febrero de 2021  y se mantiene el ingreso del Anteproyecto de la vigencia 2021. De acuerdo con lo anterior se establece a cantidad de dcumentos.</t>
        </r>
      </text>
    </comment>
    <comment ref="R19" authorId="1" shapeId="0" xr:uid="{00000000-0006-0000-0400-000003000000}">
      <text>
        <r>
          <rPr>
            <b/>
            <sz val="9"/>
            <color indexed="81"/>
            <rFont val="Tahoma"/>
            <family val="2"/>
          </rPr>
          <t>Balvina Rozo Millán:</t>
        </r>
        <r>
          <rPr>
            <sz val="9"/>
            <color indexed="81"/>
            <rFont val="Tahoma"/>
            <family val="2"/>
          </rPr>
          <t xml:space="preserve">
Para toda la proyección 2022, se ajustan las tarifas de acuerdo a la Resolución No. 5112 del 23 de febrero de 2022  y se mantiene el ingreso del Anteproyecto de la vigencia 2022. De acuerdo con lo anterior se establece a cantidad de dcumentos.</t>
        </r>
      </text>
    </comment>
    <comment ref="V19" authorId="1" shapeId="0" xr:uid="{00000000-0006-0000-0400-000004000000}">
      <text>
        <r>
          <rPr>
            <b/>
            <sz val="9"/>
            <color indexed="81"/>
            <rFont val="Tahoma"/>
            <family val="2"/>
          </rPr>
          <t>Balvina Rozo Millan:</t>
        </r>
        <r>
          <rPr>
            <sz val="9"/>
            <color indexed="81"/>
            <rFont val="Tahoma"/>
            <family val="2"/>
          </rPr>
          <t xml:space="preserve">
Para toda la proyección 2023, se ajustan las tarifas de acuerdo a la Resolución No. 4105 del 22 de febrero de 2023  y se mantiene el ingreso  aprobado de la vigencia 2023. De acuerdo con lo anterior se establece la cantidad de dcumentos.</t>
        </r>
      </text>
    </comment>
    <comment ref="Z19" authorId="1" shapeId="0" xr:uid="{00000000-0006-0000-0400-000005000000}">
      <text>
        <r>
          <rPr>
            <b/>
            <sz val="9"/>
            <color indexed="81"/>
            <rFont val="Tahoma"/>
            <family val="2"/>
          </rPr>
          <t>Balvina Rozo Millan:</t>
        </r>
        <r>
          <rPr>
            <sz val="9"/>
            <color indexed="81"/>
            <rFont val="Tahoma"/>
            <family val="2"/>
          </rPr>
          <t xml:space="preserve">
Para toda la proyección 2024, se ajustan las tarifas de acuerdo a la Resolución No. 1413 del 12 de febrero de 2024  y se mantiene el ingreso  aprobado de la vigencia 2024. De acuerdo con lo anterior se establece la cantidad de dcumentos.</t>
        </r>
      </text>
    </comment>
    <comment ref="AD19" authorId="1" shapeId="0" xr:uid="{00000000-0006-0000-0400-000006000000}">
      <text>
        <r>
          <rPr>
            <b/>
            <sz val="9"/>
            <color indexed="81"/>
            <rFont val="Tahoma"/>
            <family val="2"/>
          </rPr>
          <t xml:space="preserve">Balvina Rozo Millan: </t>
        </r>
        <r>
          <rPr>
            <sz val="9"/>
            <color indexed="81"/>
            <rFont val="Tahoma"/>
            <family val="2"/>
          </rPr>
          <t>Para toda la proyección 2025, se ajustan las tarifas de acuerdo a la Resolución No. 1174 del 04 de febrero de 2025  y se mantiene el ingreso  aprobado de la vigencia 2025. De acuerdo con lo anterior se establece la cantidad de documentos.</t>
        </r>
      </text>
    </comment>
    <comment ref="AF19" authorId="2" shapeId="0" xr:uid="{00000000-0006-0000-0400-000007000000}">
      <text>
        <t xml:space="preserve">[Comentario encadenado]
Su versión de Excel le permite leer este comentario encadenado; sin embargo, las ediciones que se apliquen se quitarán si el archivo se abre en una versión más reciente de Excel. Más información: https://go.microsoft.com/fwlink/?linkid=870924
Comentario:
    Duplicados y rectificaciones de la cédula de ciudadanía amarilla con hologramas: El estimado por la Registraduría Delegada para el Registro Civil y la Identificación es de 506.832 y se deja esa cantidad; debido a que se espera que con la masificación de la cédula digital, se reduzca la expedición de los duplicados de la cédula amarilla con hologramas. Igualmente, teniendo en cuenta que el promedio de la producción de los últimos tres años es de 720.653: Año 2022: 1.086.817; Año 2023: 536.409 y año 2024: 538.733 (el promedio correspondiente a:duplicados y rectificaciones).
</t>
      </text>
    </comment>
    <comment ref="AH19" authorId="1" shapeId="0" xr:uid="{00000000-0006-0000-0400-000008000000}">
      <text>
        <r>
          <rPr>
            <b/>
            <sz val="9"/>
            <color indexed="81"/>
            <rFont val="Tahoma"/>
            <family val="2"/>
          </rPr>
          <t>Balvina Rozo Millan:</t>
        </r>
        <r>
          <rPr>
            <sz val="9"/>
            <color indexed="81"/>
            <rFont val="Tahoma"/>
            <family val="2"/>
          </rPr>
          <t xml:space="preserve">
Todos los precios para la vigencia 2026 fueron indexados con el 3%,  de acuerdo con la Circular Externa No. 012 del 28 de febrero de 2025 del MHCP, tomando como base el precio de la vigencia actual 2025. Sin embargo, como hay que dejar el precio de acuerdo a la moneda circulante, se lleva a la moneda circulante más cercana</t>
        </r>
      </text>
    </comment>
    <comment ref="N20" authorId="3" shapeId="0" xr:uid="{00000000-0006-0000-0400-000009000000}">
      <text>
        <r>
          <rPr>
            <b/>
            <sz val="9"/>
            <color indexed="81"/>
            <rFont val="Tahoma"/>
            <family val="2"/>
          </rPr>
          <t xml:space="preserve">BRM
</t>
        </r>
        <r>
          <rPr>
            <sz val="9"/>
            <color indexed="81"/>
            <rFont val="Tahoma"/>
            <family val="2"/>
          </rPr>
          <t xml:space="preserve">Nueva tarifa para la vigencia 2021
</t>
        </r>
      </text>
    </comment>
    <comment ref="AF20" authorId="1" shapeId="0" xr:uid="{00000000-0006-0000-0400-00000A000000}">
      <text>
        <r>
          <rPr>
            <b/>
            <sz val="9"/>
            <color indexed="81"/>
            <rFont val="Tahoma"/>
            <family val="2"/>
          </rPr>
          <t>Balvina Rozo Millan:</t>
        </r>
        <r>
          <rPr>
            <sz val="9"/>
            <color indexed="81"/>
            <rFont val="Tahoma"/>
            <family val="2"/>
          </rPr>
          <t xml:space="preserve">
Cédula de ciudadanía digital y en policarbonato: El estimado por la Registraduría Delegada para el Registro Civil y la Identificación es de 1.413.391, es superior al promedio de la producción de los dos últimos años, es decir 2023: 1.469.154. y 2024 1.106.825, se proyecta para el año 2026 el promedio correspondiente a: 1.287.989</t>
        </r>
      </text>
    </comment>
    <comment ref="N24" authorId="1" shapeId="0" xr:uid="{00000000-0006-0000-0400-00000B000000}">
      <text>
        <r>
          <rPr>
            <b/>
            <sz val="9"/>
            <color indexed="81"/>
            <rFont val="Tahoma"/>
            <family val="2"/>
          </rPr>
          <t>Balvina Rozo Millan:</t>
        </r>
        <r>
          <rPr>
            <sz val="9"/>
            <color indexed="81"/>
            <rFont val="Tahoma"/>
            <family val="2"/>
          </rPr>
          <t xml:space="preserve">
Para toda la proyección 2021, se ajustan las tarifas de acuerdo a la Resolución No. 1656 del  24 de febrero de 2021  y se mantiene el ingreso del Anteproyecto de la vigencia 2021. De acuerdo con lo anterior se establece la cantidad de documentos.</t>
        </r>
      </text>
    </comment>
    <comment ref="AF24" authorId="1" shapeId="0" xr:uid="{00000000-0006-0000-0400-00000C000000}">
      <text>
        <r>
          <rPr>
            <b/>
            <sz val="9"/>
            <color indexed="81"/>
            <rFont val="Tahoma"/>
            <family val="2"/>
          </rPr>
          <t>Balvina Rozo Millan:</t>
        </r>
        <r>
          <rPr>
            <sz val="9"/>
            <color indexed="81"/>
            <rFont val="Tahoma"/>
            <family val="2"/>
          </rPr>
          <t xml:space="preserve">
Duplicados o rectificaciones de la tarjeta de identidad, en consideración a que el estimado por la Registraduría Delegada para el Registro Civil y la Identificación (duplicados:181.828 y rectificaciones: 10.976 para un total de: 192.804, es superior al promedio de la producción de los últimos tres años, se deja el comportamiento estadístico real así: 
Año 2022: 136.819; año 2023: 123.789 y año 2024: 109.881, se proyecta para el año 2026:  el promedio correspondiente a: 123.496
</t>
        </r>
      </text>
    </comment>
    <comment ref="AF26" authorId="1" shapeId="0" xr:uid="{00000000-0006-0000-0400-00000D000000}">
      <text>
        <r>
          <rPr>
            <b/>
            <sz val="9"/>
            <color indexed="81"/>
            <rFont val="Tahoma"/>
            <family val="2"/>
          </rPr>
          <t>Balvina Rozo Millan:</t>
        </r>
        <r>
          <rPr>
            <sz val="9"/>
            <color indexed="81"/>
            <rFont val="Tahoma"/>
            <family val="2"/>
          </rPr>
          <t xml:space="preserve">
Expedición Física de Certificaciones Excepcionales de Información , en consideración a que el estimado por la Registraduría Delegada para el registro civil y la identificación por este hecho generador es: 35.392 siendo este inferior al promedio de la producción de los últimos tres años, se deja el comportamiento estadístico real así: 
Año 2022: 157.382; año 2023: 201.554 y Año 2024: 205.881; se proyecta para el año 2026:  el promedio correspondiente a: 188.272
</t>
        </r>
      </text>
    </comment>
    <comment ref="AF30" authorId="1" shapeId="0" xr:uid="{00000000-0006-0000-0400-00000E000000}">
      <text>
        <r>
          <rPr>
            <b/>
            <sz val="9"/>
            <color indexed="81"/>
            <rFont val="Tahoma"/>
            <family val="2"/>
          </rPr>
          <t>Balvina Rozo Millan:</t>
        </r>
        <r>
          <rPr>
            <sz val="9"/>
            <color indexed="81"/>
            <rFont val="Tahoma"/>
            <family val="2"/>
          </rPr>
          <t xml:space="preserve">
La RDRCI esta proyectando para la vigencia 2026: 4.185 certificaciones excepcionales de nacionalidad digital</t>
        </r>
      </text>
    </comment>
    <comment ref="AF31" authorId="1" shapeId="0" xr:uid="{00000000-0006-0000-0400-00000F000000}">
      <text>
        <r>
          <rPr>
            <b/>
            <sz val="9"/>
            <color indexed="81"/>
            <rFont val="Tahoma"/>
            <family val="2"/>
          </rPr>
          <t>Balvina Rozo Millan:</t>
        </r>
        <r>
          <rPr>
            <sz val="9"/>
            <color indexed="81"/>
            <rFont val="Tahoma"/>
            <family val="2"/>
          </rPr>
          <t xml:space="preserve">
Copias y certificaciones de registros civiles (N,M y D), en consideración a que la Registraduría Delegada para el Registro Civil y la Identificación por este hecho generador estimo la cantidad de 2.238.987, siendo esta cantidad inferior al promedio de la producción de los últimos tres años. por lo anterior, se deja el comportamiento estadístico real así: 
Año 2022: 2.433.360; año 2023: 2.089.261 y año 2024: 2.131.206; se proyecta para el año 2026:  el promedio correspondiente a 2.217.942 para copias y certificaciones de registros civiles.
</t>
        </r>
      </text>
    </comment>
    <comment ref="Z33" authorId="1" shapeId="0" xr:uid="{00000000-0006-0000-0400-000010000000}">
      <text>
        <r>
          <rPr>
            <b/>
            <sz val="9"/>
            <color indexed="81"/>
            <rFont val="Tahoma"/>
            <family val="2"/>
          </rPr>
          <t>Balvina Rozo Millan:</t>
        </r>
        <r>
          <rPr>
            <sz val="9"/>
            <color indexed="81"/>
            <rFont val="Tahoma"/>
            <family val="2"/>
          </rPr>
          <t xml:space="preserve">
Para la proyección 2025, se ajustan las tarifas de acuerdo a la Resolución No. 1413 del 12 de febrero de 2024  y se mantiene el ingreso  aprobado de la vigencia 2025. De acuerdo con lo anterior se establece la cantidad de dcumentos.</t>
        </r>
      </text>
    </comment>
    <comment ref="AF33" authorId="1" shapeId="0" xr:uid="{00000000-0006-0000-0400-000011000000}">
      <text>
        <r>
          <rPr>
            <b/>
            <sz val="9"/>
            <color indexed="81"/>
            <rFont val="Tahoma"/>
            <family val="2"/>
          </rPr>
          <t>Balvina Rozo Millan:</t>
        </r>
        <r>
          <rPr>
            <sz val="9"/>
            <color indexed="81"/>
            <rFont val="Tahoma"/>
            <family val="2"/>
          </rPr>
          <t xml:space="preserve">
Copias y Certificaciones de Registros Civiles - Notarias, en consideración a que la Registraduría Delegada para el Registro Civil y la Identificación no realizó un estimado por este hecho generador , se toma el comportamiento estadístico de producción, así: 
Año 2021: 3.185.364; año 2023: 2.865.518 y Año 2023: 2.260.589, se proyecta para el año 2026:  el promedio correspondiente a 2.270.490
</t>
        </r>
      </text>
    </comment>
    <comment ref="AF37" authorId="1" shapeId="0" xr:uid="{00000000-0006-0000-0400-000012000000}">
      <text>
        <r>
          <rPr>
            <b/>
            <sz val="9"/>
            <color indexed="81"/>
            <rFont val="Tahoma"/>
            <family val="2"/>
          </rPr>
          <t>Balvina Rozo Millan:</t>
        </r>
        <r>
          <rPr>
            <sz val="9"/>
            <color indexed="81"/>
            <rFont val="Tahoma"/>
            <family val="2"/>
          </rPr>
          <t xml:space="preserve">
Se toma el comportamiento estadístico de producción de los últimos tres años así: 
Año 2022: 0; año 2023: 3.084 y año 2024: 0, Se proyecta para la vigencia 2026: 1.028
</t>
        </r>
      </text>
    </comment>
    <comment ref="N39" authorId="3" shapeId="0" xr:uid="{00000000-0006-0000-0400-000013000000}">
      <text>
        <r>
          <rPr>
            <b/>
            <sz val="9"/>
            <color indexed="81"/>
            <rFont val="Tahoma"/>
            <family val="2"/>
          </rPr>
          <t>BRM
El hecho generador, no presenta antecedentes de ingresos.</t>
        </r>
        <r>
          <rPr>
            <sz val="9"/>
            <color indexed="81"/>
            <rFont val="Tahoma"/>
            <family val="2"/>
          </rPr>
          <t xml:space="preserve">
</t>
        </r>
      </text>
    </comment>
    <comment ref="R39" authorId="4" shapeId="0" xr:uid="{00000000-0006-0000-0400-000014000000}">
      <text>
        <r>
          <rPr>
            <b/>
            <sz val="9"/>
            <color indexed="81"/>
            <rFont val="Tahoma"/>
            <family val="2"/>
          </rPr>
          <t xml:space="preserve">El hecho generador, no presenta antecedentes de ingresos.  </t>
        </r>
      </text>
    </comment>
    <comment ref="AF40" authorId="1" shapeId="0" xr:uid="{00000000-0006-0000-0400-000015000000}">
      <text>
        <r>
          <rPr>
            <b/>
            <sz val="9"/>
            <color indexed="81"/>
            <rFont val="Tahoma"/>
            <family val="2"/>
          </rPr>
          <t>Balvina Rozo Millan:</t>
        </r>
        <r>
          <rPr>
            <sz val="9"/>
            <color indexed="81"/>
            <rFont val="Tahoma"/>
            <family val="2"/>
          </rPr>
          <t xml:space="preserve">
Teniendo en cuenta que la Registraduría Delegada para el Registro Civil y la Identificación proyecto 104.490.874 consultas de información no sujeta a reserva legal y ANI, se toma el comportamiento estadístico de las consultas ANI,  de los últimos tres años y se promedia, así: 
Año 2022: : 72.408.759; año 2023: 92.076.210 y año 2024: 106.520.791 . Se proyecta para el año 2026: 90.335.253
</t>
        </r>
      </text>
    </comment>
    <comment ref="L41" authorId="1" shapeId="0" xr:uid="{00000000-0006-0000-0400-000016000000}">
      <text>
        <r>
          <rPr>
            <b/>
            <sz val="9"/>
            <color indexed="81"/>
            <rFont val="Tahoma"/>
            <family val="2"/>
          </rPr>
          <t>Balvina Rozo Millan:</t>
        </r>
        <r>
          <rPr>
            <sz val="9"/>
            <color indexed="81"/>
            <rFont val="Tahoma"/>
            <family val="2"/>
          </rPr>
          <t xml:space="preserve">
En anteproyecto 2019: 634,751</t>
        </r>
      </text>
    </comment>
    <comment ref="AF42" authorId="1" shapeId="0" xr:uid="{00000000-0006-0000-0400-000017000000}">
      <text>
        <r>
          <rPr>
            <b/>
            <sz val="9"/>
            <color indexed="81"/>
            <rFont val="Tahoma"/>
            <family val="2"/>
          </rPr>
          <t>Balvina Rozo Millan:</t>
        </r>
        <r>
          <rPr>
            <sz val="9"/>
            <color indexed="81"/>
            <rFont val="Tahoma"/>
            <family val="2"/>
          </rPr>
          <t xml:space="preserve">
Teniendo en cuenta que la Registraduría Delegada para el Registro Civil y la Identificación proyecto 126.905.947 consultas de la información de las bases de datos para autenticación biométrica, es inferior al comportamiento estadístico de los últimos tres años, se toma el valor promediado, así: 
Año 2022: 95.485.943; año 2023: 131.365.852 y año 2024: 149.754.745 . Se proyecta para la vigencia 2026: 125.535.513
</t>
        </r>
      </text>
    </comment>
    <comment ref="AF56" authorId="5" shapeId="0" xr:uid="{00000000-0006-0000-0400-000018000000}">
      <text>
        <r>
          <rPr>
            <sz val="9"/>
            <color indexed="81"/>
            <rFont val="Tahoma"/>
            <family val="2"/>
          </rPr>
          <t xml:space="preserve">BRM
Estimado por la RDRCI (2) pruebas operadores biométricos
Se toma el comportamiento estadístico de los últimos tres años para la presentación de la prueba técnica para habilitarse como operador biométrico, y se promedia, así: 
Año 2022: 1; año 2023: 9 y año 2024: 1. Se proyecta para la vigencia 2026: 4
</t>
        </r>
      </text>
    </comment>
    <comment ref="AF57" authorId="5" shapeId="0" xr:uid="{00000000-0006-0000-0400-000019000000}">
      <text>
        <r>
          <rPr>
            <sz val="9"/>
            <color indexed="81"/>
            <rFont val="Tahoma"/>
            <family val="2"/>
          </rPr>
          <t xml:space="preserve">BRM
Estimado por la RDRCI (3) pruebas de homologación
Se toma el comportamiento estadístico de los últimos tres años para la realización de la prueba de homologación y se promedia, así: 
Año 2022: 0; año 2023: 0 y año 2024: 0, se proyecta para la vigencia 2026: 3
</t>
        </r>
      </text>
    </comment>
    <comment ref="AF58" authorId="5" shapeId="0" xr:uid="{00000000-0006-0000-0400-00001A000000}">
      <text>
        <r>
          <rPr>
            <b/>
            <sz val="9"/>
            <color indexed="81"/>
            <rFont val="Tahoma"/>
            <family val="2"/>
          </rPr>
          <t>BRM:</t>
        </r>
        <r>
          <rPr>
            <sz val="9"/>
            <color indexed="81"/>
            <rFont val="Tahoma"/>
            <family val="2"/>
          </rPr>
          <t xml:space="preserve">
Estimado por la RDRCI, 5.756 equipos biométricos homologados
Se toma el comportamiento estadístico de los últimos tres años para la publicación por el equipo homologado y se promedia, así: 
Año 2022: 103.486; año 2023: 3.274 y año 2024: 6.968, se proyecta para la vigencia 2026: 37.909
</t>
        </r>
      </text>
    </comment>
  </commentList>
</comments>
</file>

<file path=xl/sharedStrings.xml><?xml version="1.0" encoding="utf-8"?>
<sst xmlns="http://schemas.openxmlformats.org/spreadsheetml/2006/main" count="1890" uniqueCount="359">
  <si>
    <t>G</t>
  </si>
  <si>
    <t>C</t>
  </si>
  <si>
    <t>SORD</t>
  </si>
  <si>
    <t>IT</t>
  </si>
  <si>
    <t>SIT</t>
  </si>
  <si>
    <t>CONCEPTO</t>
  </si>
  <si>
    <t>A</t>
  </si>
  <si>
    <t>01</t>
  </si>
  <si>
    <t>001</t>
  </si>
  <si>
    <t>002</t>
  </si>
  <si>
    <t>003</t>
  </si>
  <si>
    <t>004</t>
  </si>
  <si>
    <t>005</t>
  </si>
  <si>
    <t>006</t>
  </si>
  <si>
    <t>007</t>
  </si>
  <si>
    <t>008</t>
  </si>
  <si>
    <t>009</t>
  </si>
  <si>
    <t>02</t>
  </si>
  <si>
    <t>03</t>
  </si>
  <si>
    <t>ADQUISICIÓN DE BIENES  Y SERVICIOS</t>
  </si>
  <si>
    <t>ADQUISICIONES DIFERENTES DE ACTIVOS</t>
  </si>
  <si>
    <t>MATERIALES Y SUMINISTROS</t>
  </si>
  <si>
    <t>PRODUCTOS ALIMENTICIOS, BEBIDAS Y TABACO; TEXTILES, PRENDAS DE VESTIR Y PRODUCTOS DE CUERO</t>
  </si>
  <si>
    <t>OTROS BIENES TRANSPORTABLES (EXCEPTO PRODUCTOS METÁLICOS, MAQUINARIA Y EQUIPO)</t>
  </si>
  <si>
    <t>Pasta o pulpa, papel y productos de papel; impresos y artículos relacionados</t>
  </si>
  <si>
    <t>Productos de hornos de coque; productos de refinación de petróleo y combustible nuclear</t>
  </si>
  <si>
    <t>ADQUISICIÓN DE SERVICIOS</t>
  </si>
  <si>
    <t>SERVICIOS DE LA CONSTRUCCIÓN</t>
  </si>
  <si>
    <t>SERVICIOS DE ALOJAMIENTO; SERVICIOS DE SUMINISTRO DE COMIDAS Y BEBIDAS; SERVICIOS DE TRANSPORTE; Y SERVICIOS DE DISTRIBUCIÓN DE ELECTRICIDAD, GAS Y AGUA</t>
  </si>
  <si>
    <t>Servicios de transporte de carga</t>
  </si>
  <si>
    <t>Servicios postales y de mensajería</t>
  </si>
  <si>
    <t>SERVICIOS FINANCIEROS Y SERVICIOS CONEXOS, SERVICIOS INMOBILIARIOS Y SERVICIOS DE LEASING</t>
  </si>
  <si>
    <t xml:space="preserve">SERVICIOS PRESTADOS A LAS EMPRESAS Y SERVICIOS DE PRODUCCIÓN </t>
  </si>
  <si>
    <t/>
  </si>
  <si>
    <t>TRANSFERENCIAS CORRIENTES</t>
  </si>
  <si>
    <t>A ENTIDADES DEL GOBIERNO</t>
  </si>
  <si>
    <t>A ÓRGANOS DEL PGN</t>
  </si>
  <si>
    <t>999</t>
  </si>
  <si>
    <t>OTRAS TRANSFERENCIAS - PREVIO CONCEPTO DGPPN</t>
  </si>
  <si>
    <t>10</t>
  </si>
  <si>
    <t>SENTENCIAS Y CONCILIACIONES</t>
  </si>
  <si>
    <t>FALLOS NACIONALES</t>
  </si>
  <si>
    <t>SENTENCIAS</t>
  </si>
  <si>
    <t>08</t>
  </si>
  <si>
    <t>GASTOS POR TRIBUTOS, MULTAS, SANCIONES E INTERESES DE MORA</t>
  </si>
  <si>
    <t>04</t>
  </si>
  <si>
    <t>CONTRIBUCIONES</t>
  </si>
  <si>
    <t>CUOTA DE FISCALIZACIÓN Y AUDITAJE</t>
  </si>
  <si>
    <t xml:space="preserve">TOTAL FUNCIONAMIENTO </t>
  </si>
  <si>
    <t>1000</t>
  </si>
  <si>
    <t>2</t>
  </si>
  <si>
    <t xml:space="preserve">VALOR </t>
  </si>
  <si>
    <t>C/P</t>
  </si>
  <si>
    <t>SC/SP</t>
  </si>
  <si>
    <t>OBJ/ PROY</t>
  </si>
  <si>
    <t>ORD/SP</t>
  </si>
  <si>
    <t>Otros Productos Químicos; Fibras Artificiales (O Fibras Industriales Hechas Por El Hombre)</t>
  </si>
  <si>
    <t>Servicios de investigación y seguridad</t>
  </si>
  <si>
    <t>3</t>
  </si>
  <si>
    <t xml:space="preserve">Servicios De Edición, Impresión Y Reproducción </t>
  </si>
  <si>
    <t>IMPUESTOS</t>
  </si>
  <si>
    <t>IMPUESTO PREDIAL</t>
  </si>
  <si>
    <t>IMPUESTO DE INDUSTRIA Y COMERCIO</t>
  </si>
  <si>
    <t>IMPUESTO DE REGISTRO</t>
  </si>
  <si>
    <t>IMPUESTO SOBRE VEHÍCULOS AUTOMOTORES</t>
  </si>
  <si>
    <t>5</t>
  </si>
  <si>
    <t>2899</t>
  </si>
  <si>
    <t>ADQUISICIÓN DE ACTIVOS NO FINANCIEROS</t>
  </si>
  <si>
    <t>ACTIVOS FIJOS</t>
  </si>
  <si>
    <t>ACTIVOS FIJOS NO CLASIFICADOS COMO ACTIVOS FIJOS NO CLASIFICADOS COMO MAQUINARIA Y EQUIPO</t>
  </si>
  <si>
    <t>MINISTERIO DE HACIENDA Y CREDITO PUBLICO</t>
  </si>
  <si>
    <t>DIRECCIÓN GENERAL DEL PRESUPUESTO PÚBLICO NACIONAL</t>
  </si>
  <si>
    <t>Formulario 2 Gastos</t>
  </si>
  <si>
    <t>1</t>
  </si>
  <si>
    <t>CONCILIACIONES</t>
  </si>
  <si>
    <t>IMPUESTOS TERRITORIALES</t>
  </si>
  <si>
    <t>TASAS Y DERECHOS ADMINISTRATIVOS</t>
  </si>
  <si>
    <t>Formulario  1A</t>
  </si>
  <si>
    <t>FONDO ROTATORIO DE LA REGISTRADURIA NACIONAL DEL ESTADO CIVIL</t>
  </si>
  <si>
    <t>Producto
1</t>
  </si>
  <si>
    <t>Vigencia 2017</t>
  </si>
  <si>
    <t>Precio Promedio Unidad 2018</t>
  </si>
  <si>
    <t>APROBADO Ingreso Año
2017</t>
  </si>
  <si>
    <t>Ingreso</t>
  </si>
  <si>
    <t>Cantidad</t>
  </si>
  <si>
    <t>Factor de</t>
  </si>
  <si>
    <t>Precio</t>
  </si>
  <si>
    <t>Próx. Vig.</t>
  </si>
  <si>
    <t>Año</t>
  </si>
  <si>
    <t>Incremento</t>
  </si>
  <si>
    <t>Unidad</t>
  </si>
  <si>
    <t>Base Cero</t>
  </si>
  <si>
    <t>10= 6*9</t>
  </si>
  <si>
    <t>12= 7*11</t>
  </si>
  <si>
    <t>13= 10*12</t>
  </si>
  <si>
    <t>14= 7*10</t>
  </si>
  <si>
    <t>1. INGRESOS TRIBUTARIOS</t>
  </si>
  <si>
    <t>1.1. CONTRIBUCIONES</t>
  </si>
  <si>
    <t>2. INGRESOS CORRIENTES</t>
  </si>
  <si>
    <t xml:space="preserve">SUBTOTAL </t>
  </si>
  <si>
    <t>H.G. 2 y 7 Ingresos Expedición Física del Duplicado o Rectificación de la Tarjeta de Identidad de 7-13 años -Res. 315 del 18 enero de 2019.</t>
  </si>
  <si>
    <t xml:space="preserve">  Expedición Física de Certificaciones Excepcionales de Nacionalidad, con base en la información que reposa en los archivos de la Entidad. (En el territorio nacional y en el exterior),  - Res. 315 del 18 enero de 2019.</t>
  </si>
  <si>
    <t xml:space="preserve">H.G. No. 8 Ingresos por  servicios de procesamiento, consulta de datos de identificación, y venta de licencias de software de los desarrollos tecnológicos que se adelantaron con la base de datos de propiedad de la Entidad.  </t>
  </si>
  <si>
    <t>TOTAL TASAS Y DERECHOS ADMINISTRATIVOS</t>
  </si>
  <si>
    <t>VENTA DE BIENES Y SERVICIOS</t>
  </si>
  <si>
    <t>TOTAL VENTA DE BIENES Y SERVICIOS</t>
  </si>
  <si>
    <t>MULTAS SANCIONES E INTERES DE MORA</t>
  </si>
  <si>
    <t>TOTAL MULTAS SANCIONES E INTERES DE MORA</t>
  </si>
  <si>
    <t>Formulario 1.1</t>
  </si>
  <si>
    <t>SECCIÓN:</t>
  </si>
  <si>
    <t>FONDO ROTATORIO DE LA REGISTRADURÍA NACIONAL DEL ESTADO CIVIL</t>
  </si>
  <si>
    <t>Clasificación</t>
  </si>
  <si>
    <t>Concepto</t>
  </si>
  <si>
    <t>Cta</t>
  </si>
  <si>
    <t>Subcta</t>
  </si>
  <si>
    <t>Obj gasto</t>
  </si>
  <si>
    <t>Ord</t>
  </si>
  <si>
    <t>Recursos Propios</t>
  </si>
  <si>
    <t>Total</t>
  </si>
  <si>
    <t>INGRESOS CORRIENTES</t>
  </si>
  <si>
    <t>INGRESOS NO TRIBUTARIOS</t>
  </si>
  <si>
    <t xml:space="preserve">Tasas y derechos administrativos </t>
  </si>
  <si>
    <t>Multas, sanciones e intereses de mora</t>
  </si>
  <si>
    <t>RECURSOS DE CAPITAL</t>
  </si>
  <si>
    <t>Excedentes financieros</t>
  </si>
  <si>
    <t>Establecimientos públicos</t>
  </si>
  <si>
    <t>05</t>
  </si>
  <si>
    <t>Rendimientos financieros</t>
  </si>
  <si>
    <t>Recursos de la entidad</t>
  </si>
  <si>
    <t>TOTAL INGRESOS VIGENCIA</t>
  </si>
  <si>
    <t>RESUMEN PRESUPUESTO DE INGRESOS</t>
  </si>
  <si>
    <t>RECURSOS PROPIOS DEL ESTABLECIMIENTO PÚBLICO</t>
  </si>
  <si>
    <t>Ingresos Corrientes</t>
  </si>
  <si>
    <t>Recursos de Capital</t>
  </si>
  <si>
    <t>Gastos de Funcionamiento</t>
  </si>
  <si>
    <t>TOTAL</t>
  </si>
  <si>
    <t>CONTRIBUCIÓN DE VALORIZACIÓN NACIONAL</t>
  </si>
  <si>
    <t>Venta de Bienes y Servicios</t>
  </si>
  <si>
    <t>Venta de papel</t>
  </si>
  <si>
    <t>Tarifa para la presentación de la prueba técnica para habilitarse como operador biométrico</t>
  </si>
  <si>
    <t>Tarifa para la realización de la prueba de homologación para dispositivos biométricos</t>
  </si>
  <si>
    <t>Tarifa para la publicación por el equipo homologado</t>
  </si>
  <si>
    <t>Vigencia 2019</t>
  </si>
  <si>
    <t>Vigencia en curso 2020</t>
  </si>
  <si>
    <t>Vigencia 2021</t>
  </si>
  <si>
    <t>Artículos textiles (excepto prendas de vestir)</t>
  </si>
  <si>
    <t>Productos de molinería, almidones y productos derivados del almidón; otros productos alimenticios</t>
  </si>
  <si>
    <t>PRODUCTOS METÁLICOS Y PAQUETES DE SOFTWARE</t>
  </si>
  <si>
    <t>Otras máquinas para usos generales y sus partes y piezas</t>
  </si>
  <si>
    <t>09</t>
  </si>
  <si>
    <t>9</t>
  </si>
  <si>
    <t>Alojamiento; servicios de suministros de comidas y bebidas</t>
  </si>
  <si>
    <t>Servicios de seguros de vehículos automotores</t>
  </si>
  <si>
    <t>Seguro de infidelidad y riesgos financieros</t>
  </si>
  <si>
    <t>Servicios de limpieza</t>
  </si>
  <si>
    <t>Servicios de mantenimiento y reparación de otros bienes n.c.p.</t>
  </si>
  <si>
    <t>H.G. 6 y 7  Copias y certificaciones de registros civiles (En el territorio nacional y en el exterior)</t>
  </si>
  <si>
    <t>APROBADO Ingreso Año
2020</t>
  </si>
  <si>
    <t>Precio Promedio Unidad 2020</t>
  </si>
  <si>
    <t>Precio Promedio Unidad 2021</t>
  </si>
  <si>
    <t>Ingresos</t>
  </si>
  <si>
    <t xml:space="preserve">IMPUESTO DE DELINEACIÓN URBANA </t>
  </si>
  <si>
    <t>Servicios de telecomunicaciones, transmisión y suministro de información</t>
  </si>
  <si>
    <t>Precio Promedio Unidad 2022</t>
  </si>
  <si>
    <t xml:space="preserve">Servicios financieros y servicios conexos </t>
  </si>
  <si>
    <t>Servicios de soporte</t>
  </si>
  <si>
    <t>Servicios de distribución de electricidad, gas y agua</t>
  </si>
  <si>
    <t>Servicios de mantenimiento, reparación e instalación (excepto servicio de contrucción)</t>
  </si>
  <si>
    <t xml:space="preserve">Servicios para la comunidad, sociales y personales </t>
  </si>
  <si>
    <t>18</t>
  </si>
  <si>
    <t>B</t>
  </si>
  <si>
    <t>DEUDA INTERNA</t>
  </si>
  <si>
    <t>APORTES AL FONDO DE CONTINGENCIAS</t>
  </si>
  <si>
    <t>Servicio de la deuda interna</t>
  </si>
  <si>
    <t>4</t>
  </si>
  <si>
    <t>Servicios de mantenimiento, reparación de maquinaria y equipo de transporte</t>
  </si>
  <si>
    <t>Servicios de mantenimiento, reparación de maquinaria de oficina y contabilidad</t>
  </si>
  <si>
    <t>2801</t>
  </si>
  <si>
    <t>PROCESOS DEMOCRÁTICOS Y ASUNTOS ELECTORALES</t>
  </si>
  <si>
    <t>2802</t>
  </si>
  <si>
    <t>INTERSUBSECTORIAL GOBIERNO</t>
  </si>
  <si>
    <t>17</t>
  </si>
  <si>
    <t>Aprobado Ingreso Año
2022</t>
  </si>
  <si>
    <t>Aprobado Ingreso Año
2021</t>
  </si>
  <si>
    <t>Precio Promedio Unidad 2023</t>
  </si>
  <si>
    <t>Precio Promedio Unidad 2024</t>
  </si>
  <si>
    <t>Aprobado Ingreso Año
2023</t>
  </si>
  <si>
    <t>Otros ingresos: Aprovechamiento venta de papel</t>
  </si>
  <si>
    <t>Muebles, instrumentos musicales, artículos de deporte y antigüedades</t>
  </si>
  <si>
    <t>MAQUINARIA Y EQUIPO</t>
  </si>
  <si>
    <t>Maquinaria de oficina, contabilidad e informática</t>
  </si>
  <si>
    <t>Maquinaria y aparatos eléctricos</t>
  </si>
  <si>
    <t>Equipo y aparatos de radio, televisión 
y comunicaciones</t>
  </si>
  <si>
    <t>productos de madera, corcho, cestería y espartería</t>
  </si>
  <si>
    <t>Quimicos basicos</t>
  </si>
  <si>
    <t>Productos de caucho y plastico</t>
  </si>
  <si>
    <t xml:space="preserve">Vidrio y productos de vidrio y otros productos no metálicos n.c.p. </t>
  </si>
  <si>
    <t>Otros bienes transportables N.C.P</t>
  </si>
  <si>
    <t xml:space="preserve">Productos metálicos elaborados (excepto maquinaria y equipo) </t>
  </si>
  <si>
    <t>Servicios de la construcción</t>
  </si>
  <si>
    <t>Servicios financieros y servicios conexos</t>
  </si>
  <si>
    <t>20</t>
  </si>
  <si>
    <t>Otros servicios profesionales, científicos y técnicos</t>
  </si>
  <si>
    <t>Producto</t>
  </si>
  <si>
    <t>Tarifa por concepto de venta de licencias de software de los desarrollos tecnológicos que se adelanten con la base de datos de propiedad de la Entidad, impresión, publicaciones, libros y revistas que edite la Organización Electoral - Registraduría Nacional del Estado Civil, se determinarán en actos administrativos separados.</t>
  </si>
  <si>
    <t>Servicios de agencias de noticias</t>
  </si>
  <si>
    <t>Precio Promedio Unidad 2025</t>
  </si>
  <si>
    <t>Tarifa para la expedición de los certificados o las copias de los datos de los registros civiles en formato digital que se expiden a través de las plataformas tecnológicas de servicios digitales de la Registraduría Nacional del Estado Civil.
Res. 1413 del 12 febrero de 2024 (Art. 8°).</t>
  </si>
  <si>
    <t>Tarifa para la consulta de la información generada por procesamientos o filtros especiales. 
Res. 1413 del 12 de febrero de 2024 (Art. 12°).</t>
  </si>
  <si>
    <t xml:space="preserve">Equipo y aparatos dde radio, televisión y comunicaciones </t>
  </si>
  <si>
    <t>Servicios inmobiliarios</t>
  </si>
  <si>
    <t>Servicios de mantenimiento y reparaciones de otra maquinaria y otro equipo</t>
  </si>
  <si>
    <t>Tarifa para autenticación de identidad a partir de la biometría facial.
Res. 1413 del 12 de febrero de 2024 (Art. 17°).</t>
  </si>
  <si>
    <t>Tarifa para la presentación de la prueba técnica de habilitación como Operador de Autenticación de Identidad Digital.
Res. 1413 del 12 de febrero de 2024 (Art. 18°).</t>
  </si>
  <si>
    <t>Muebles de tipo utilizado en oficinas</t>
  </si>
  <si>
    <t>FORTALECIMIENTO DEL CENTRO DE ESTUDIOS EN DEMOCRACIA Y ASUNTOS ELECTORALES - CEDAE -  NACIONAL</t>
  </si>
  <si>
    <t>0</t>
  </si>
  <si>
    <t>ADQUISICIÓN DE BIENES Y SERVICIOS</t>
  </si>
  <si>
    <t xml:space="preserve">IMPLEMENTACION DE LA ANALITICA DE DATOS Y LA INTELIGENCIA ARTIFICIAL DE LA RNEC NACIONAL </t>
  </si>
  <si>
    <t xml:space="preserve">IDENTIFICACION Y REGISTRO DEL ESTADO CIVIL DE LA POBLACION </t>
  </si>
  <si>
    <t xml:space="preserve">FORTALECIMIENTO DE LA CAPACIDAD DE ATENCION EN IDENTIFICACION PARA LA POBLACION EN CONDICION DE VULNERABILIDAD, APD NACIONAL </t>
  </si>
  <si>
    <t>FORTALECIMIENTO DEL SERVICIO DEL SISTEMA DEL ARCHIVO NACIONAL DE IDENTIFICACIÓN ANI Y SISTEMAS CONEXOS  NACIONAL</t>
  </si>
  <si>
    <t>FORTALECIMIENTO DEL SISTEMA DE INFORMACIÓN DE REGISTRO CIVIL  NACIONAL</t>
  </si>
  <si>
    <t>FORTALECIMIENTO DE LA GESTIÓN Y DIRECCIÓN DEL SECTOR REGISTRADURÍA</t>
  </si>
  <si>
    <t>21</t>
  </si>
  <si>
    <t>SERVICIOS DE INFORMACIÓN IMPLEMENTADOS</t>
  </si>
  <si>
    <t>19</t>
  </si>
  <si>
    <t>22</t>
  </si>
  <si>
    <t>25</t>
  </si>
  <si>
    <t>26</t>
  </si>
  <si>
    <t>IMPLEMENTACIÓN DE LA SEGURIDAD DE LA INFORMACIÓN EN LA ORGANIZACIÓN ELECTORAL. BOGOTÁ</t>
  </si>
  <si>
    <t>27</t>
  </si>
  <si>
    <t>IMPLEMENTACIÓN DEL SISTEMA DE GESTIÓN DOCUMENTAL CONSEJO NACIONAL ELECTORAL  BOGOTÁ</t>
  </si>
  <si>
    <t xml:space="preserve">SERVICIOS DE GESTION DOCUMENTAL </t>
  </si>
  <si>
    <t>DOCUMENTOS DE LINEAMIENTOS
TÉCNICOS</t>
  </si>
  <si>
    <t>TOTAL INVERSION FRR</t>
  </si>
  <si>
    <t xml:space="preserve">ADQUISICIONES DE ACTIVOS NO FINANCIEROS </t>
  </si>
  <si>
    <t>ACTIVOS FIJOS NO CLASIFICADOS COMO MAQUINARIA Y EQUIPO</t>
  </si>
  <si>
    <t xml:space="preserve">Quimicos basicos </t>
  </si>
  <si>
    <t>Otros productos químicos; fibras artificiales (o fibras industriales hechas por el hombre)</t>
  </si>
  <si>
    <t xml:space="preserve">Productos de caucho y plastico </t>
  </si>
  <si>
    <t xml:space="preserve"> PRODUCTOS METÁLICOS Y PAQUETES DE 
SOFTWARE</t>
  </si>
  <si>
    <t>SERVICIOS DE CONSTRUCCIÓN</t>
  </si>
  <si>
    <t>Servicios de distribución de electricidad, gas y agua (por cuenta propia)</t>
  </si>
  <si>
    <t>OTROS SERVICIOS PROFESIONALES, CIENTÍFICOS Y TÉCNICOS</t>
  </si>
  <si>
    <t xml:space="preserve">Servicios de Telecomunicaciones, Transmision y suministro de informacion </t>
  </si>
  <si>
    <t>Servicios de telefonía y otras telecomunicaciones</t>
  </si>
  <si>
    <t xml:space="preserve">Servicios de soporte </t>
  </si>
  <si>
    <t>Servicios de mantenimiento , reparacion e instalacion (execto servicios de contruccion)</t>
  </si>
  <si>
    <t>Servicios de mantenimiento y reparación de maquinaria de oficina y contabilidad</t>
  </si>
  <si>
    <t xml:space="preserve">Servicios de mantenimiento y reparacion de maquinaria y equipo de transporte </t>
  </si>
  <si>
    <t>Servicios de mantenimiento y reparación de otra maquinaria y otro equipo</t>
  </si>
  <si>
    <t xml:space="preserve">CONCILIACIONES </t>
  </si>
  <si>
    <t>CONTRIBUCION DE VALORIZACION MUNICIPAL</t>
  </si>
  <si>
    <t>2801001</t>
  </si>
  <si>
    <t>SERVICIO DE EDUCACIÓN INFORMAL EN VALORES DEMOCRÁTICOS</t>
  </si>
  <si>
    <t>2801004</t>
  </si>
  <si>
    <t xml:space="preserve">DOCUMENTOS DE INVESTIGACIÓN </t>
  </si>
  <si>
    <t>1003</t>
  </si>
  <si>
    <t>11</t>
  </si>
  <si>
    <t>2802007</t>
  </si>
  <si>
    <t>SERVICIOS TECNOLÓGICOS DEL ARCHIVO NACIONAL DE IDENTIFICACIÓN</t>
  </si>
  <si>
    <t>2802005</t>
  </si>
  <si>
    <t>BASE DE DATOS DE REGISTRO CIVIL</t>
  </si>
  <si>
    <t>2802006</t>
  </si>
  <si>
    <t>SERVICIO DE EDUCACIÓN INFORMAL EN FOMENTO DEL REGISTRO CIVIL</t>
  </si>
  <si>
    <t>FORMACIÓN PERMANENTE PARA LOS SERVIDORES DE LA REGISTRADURÍA NACIONAL DEL ESTADO CIVIL, EN LA GESTIÓN DEL DESARROLLO Y EN TÉCNICAS Y COMPETENCIAS DE APLICACIÓN MISIONAL.  NACIONAL</t>
  </si>
  <si>
    <t>2899058</t>
  </si>
  <si>
    <t>SERVICIO DE EDUCACIÓN INFORMAL PARA LA GESTIÓN ADMINISTRATIVA</t>
  </si>
  <si>
    <t>SERVICIO DE RESPALDO DE LOS SISTEMAS DE INFORMACIÓN DE PROCESOS DE IDENTIFICACIÓN, ELECTORALES Y ADMINISTRATIVOS A NIVEL  NACIONAL</t>
  </si>
  <si>
    <t>2899066</t>
  </si>
  <si>
    <t>SERVICIOS TECNOLÓGICOS</t>
  </si>
  <si>
    <t>12</t>
  </si>
  <si>
    <t>MEJORAMIENTO  DE LA  RED ELÉCTRICA Y DE COMUNICACIONES A NIVEL NACIONAL.  NACIONAL</t>
  </si>
  <si>
    <t>13</t>
  </si>
  <si>
    <t>MEJORAMIENTO Y RENOVACIÓN DE LA INFRAESTRUCTURA TECNOLÓGICA PARA LA REGISTRADURÍA NACIONAL DEL ESTADO CIVIL   NACIONAL</t>
  </si>
  <si>
    <t>14</t>
  </si>
  <si>
    <t>MEJORAMIENTO Y MANTENIMIENTO DE LA INFRAESTRUCTURA ADMINISTRATIVA A NIVEL  NACIONAL</t>
  </si>
  <si>
    <t>2899011</t>
  </si>
  <si>
    <t>SEDES ADECUADAS</t>
  </si>
  <si>
    <t>15</t>
  </si>
  <si>
    <t>FORTALECIMIENTO DE LA RED CORPORATIVA DE TELECOMUNICACIONES - PMT, ELECTORAL  Y ADMINISTRATIVA  NACIONAL</t>
  </si>
  <si>
    <t xml:space="preserve"> FORTALECIMIENTO DEL SISTEMA DE SERVICIO AL COLOMBIANO DE LA REGISTRADURÍA NACIONAL DEL ESTADO CIVIL NACIONAL</t>
  </si>
  <si>
    <t xml:space="preserve">SERVICIOS DE INFORMACIÓN ACTUALIZADOS </t>
  </si>
  <si>
    <t>TOTAL PRESUPUESTO FRR</t>
  </si>
  <si>
    <t>Gastos de inversión propios</t>
  </si>
  <si>
    <t>Total presupuesto gastos (propios)</t>
  </si>
  <si>
    <t>Total presupuesto gastos (nación)</t>
  </si>
  <si>
    <t>Gastos de inversión nación</t>
  </si>
  <si>
    <t xml:space="preserve">RESUMEN PRESUPUESTO DE GASTOS - FRR </t>
  </si>
  <si>
    <t>ADECUACIÓN Y MANTENIMIENTO A LA INFRAESTRUCTURA DE LAS SEDES DE LA REGISTRADURÍA NACIONAL DEL ESTADO CIVIL, A NIVEL   NACIONAL</t>
  </si>
  <si>
    <t>TOTAL INVERSION FRR (propios)</t>
  </si>
  <si>
    <t>Proyectos de inversión FRR (propios) - vigencia 2025</t>
  </si>
  <si>
    <t>Proyectos de inversión FRR (nación) - vigencia 2025</t>
  </si>
  <si>
    <t>TOTAL INVERSION FRR (nación)</t>
  </si>
  <si>
    <t>UNIDAD EJECUTORA: 28-02-00</t>
  </si>
  <si>
    <t>Precio Promedio Unidad 2026</t>
  </si>
  <si>
    <t>Proyección Ingreso Año
2026</t>
  </si>
  <si>
    <t>H.G.1 y 7 Ingresos expedición física del duplicado o rectificación de la cédula de ciudadanía por pérdida, deterioro o corrección de datos por voluntad de su titular. (En el territorio nacional y en el exterior).
Res. 1174 del 04 febrero de 2025. (Art. 1°).</t>
  </si>
  <si>
    <t>Aprobado Ingreso Año
2025</t>
  </si>
  <si>
    <t>Expedición de la cédula de ciudadanía de seguridad personalizada en policarbonato y para la cédula de ciudadanía digital. - Res. 1174 del 04 de febrero de 2025. (Art. 2°).</t>
  </si>
  <si>
    <t>H.G. 2 y 7 Expedición física del duplicado o rectificación de la tarjeta de identidad, por pérdida deterioro  o corrección de datos por voluntad de su titular -   Res. 1174 del 04 de febrero de 2025 (Art. 3°).</t>
  </si>
  <si>
    <t>H.G. 2 y 7  Expedición física del duplicado o rectificación de la tarjeta de identidad, por pérdida o deterioro o corrección de datos a voluntad de su titular. (En el territorio nacional y en el exterior)</t>
  </si>
  <si>
    <t>H.G. 3, 4 y 7 Expedición física de certificaciones excepcionales de información ciudadana no sujeta a reserva legal., o con base en la información que reposa en los archivos de la entidad (En el territorio nacional y en el exterior) - Res. 1174 del 04 de febrero de 2025 (Art. 4° y 5°).</t>
  </si>
  <si>
    <t>Tarifa de las copias y certificados de registros civiles que expiden los registradores, alcaldes, corregidores e Inspecciones de Policía, debidamente autorizados por el Registrador Nacional del Estado Civil.
Res. 1174 del 04 febrero de 2025 (Art. 7°).</t>
  </si>
  <si>
    <t>Tarifa para las copias y certificados de registros civiles que expidan los notarios debidamente autorizados por el Registrador Nacional del Estado Civil.
Art. 1°.  de la Resolución 2355 del 27 de febrero de 2025.
Art. 4.  Pago mensual de la Resolución 2355 del 27 de febrero de 2025 (corresponde al 10% del valor de una copia de registro civil).</t>
  </si>
  <si>
    <t>H.G. 9. Servicio de fotocopiado. Res. 1174 del 04 de febrero de 2025 (Art. 9°).</t>
  </si>
  <si>
    <t xml:space="preserve">Tarifa para la consulta de la información no sujeta a reserva legal del Archivo Nacional de Identificación (ANI) y del Sistema de Información de Registro Civil (SIRC) de la Registraduría Nacional del Estado Civil.  
Res. 1174 del 04 de febrero de 2025 (Art. 11°).
</t>
  </si>
  <si>
    <t>Tarifa asociada a la consulta de la información de las bases de datos para autenticación biométrica. 
Res. 1174 del 04 de febrero de 2025 (Art. 16°).</t>
  </si>
  <si>
    <t>Tarifa para la expedición de certificaciones excepcionales de nacionalidad de forma digital (con base en la información que reposa en los archivos de la entidad) 
Res. 1174 del 04 febrero de 2025 (Art. 6°).</t>
  </si>
  <si>
    <t>H.G. 8 Tarifa para la expedición de los certificados o las copias de los datos de los registros civiles en formato digital que se expiden a través de las plataformas tecnológicas de servicios digitales de la Registraduría Ncional del Estado Civil. Res.1174 del 04 de febrero de 2025 (Art. 8°).</t>
  </si>
  <si>
    <t>Tarifa por concepto de DVD que contenga estadísticas electorales desde el año 1997.  Res. 1174 del 04 de febrero de 2025 (Art. 10°).</t>
  </si>
  <si>
    <t>Tarifa para la presentación de la prueba técnica para habilitarse como operador biométrico. 
Res. 1174 del 04 de febrero de 2025 (Art. 13°).</t>
  </si>
  <si>
    <t>Tarifa para la realización de la prueba de homologación para dispositivos biométricos. 
Res. 1174 del 04 de febrero de 2025  (Art. 14°).</t>
  </si>
  <si>
    <t>Tarifa para la publicación por el equipo homologado. 
Res. 1174 del 04 de febrero de 2025 (Art. 15°).</t>
  </si>
  <si>
    <t>Ingresos programados Próxima vig. 2026</t>
  </si>
  <si>
    <t>Ingresos estimados vigencia  2025</t>
  </si>
  <si>
    <t>Transferencias corrientes</t>
  </si>
  <si>
    <t>Aprobado (Recaudado) Ingreso Año
2024</t>
  </si>
  <si>
    <t xml:space="preserve">Sanciones disciplinarias </t>
  </si>
  <si>
    <t>Intereses de mora</t>
  </si>
  <si>
    <t>Apropiación vigencia en curso 2025</t>
  </si>
  <si>
    <t>Gastos programados Próxima vig.2026</t>
  </si>
  <si>
    <t>APROPIACION VIGENTE 2025</t>
  </si>
  <si>
    <t>GASTOS PROGRAMADOS PRÓXIMA VIGENCIA 2026</t>
  </si>
  <si>
    <t>FORTALECIMIENTO DE LA MISIONALIDAD DE LA RNEC Y DE LA CULTURA CÍVICA Y DEMOCRÁTICA A TRAVÉS DEL CEDAE  NACIONAL</t>
  </si>
  <si>
    <t>FORTALECIMIENTO DE JORNADAS DE REGISTRO CIVIL E IDENTIFICACIÓN DIRIGIDAS A LA POBLACIÓN EN CONDICIÓN DE VULNERABILIDAD Y VÍCTIMAS DEL CONFLICTO ARMADO. APD  NACIONAL</t>
  </si>
  <si>
    <t>FORTALECIMIENTO DEL SISTEMA DE SERVICIO AL COLOMBIANO DE LA REGISTRADURIA NACIONAL DEL ESTADO CIVIL  NACIONAL</t>
  </si>
  <si>
    <t>FORTALECIMIENTO DEL SISTEMA DE GESTIÓN AMBIENTAL DE LA REGISTRADURÍA NACIONAL DEL ESTADO CIVIL.  NACIONAL</t>
  </si>
  <si>
    <t>FORTALECIMIENTO DE LA ANALÍTICA DE DATOS, LA INTELIGENCIA ARTIFICIAL Y ADMINISTRACIÓN DE DATOS EN LA REGISTRADURÍA NACIONAL DEL ESTADO CIVIL​,  BOGOTÁ</t>
  </si>
  <si>
    <t>FORTALECIMIENTO DE COMPETENCIAS E IMPLEMENTACIÓN DEL SISTEMA DE FORMACIÓN VIRTUAL Y PERMANENTE EN TEMAS MISIONALES Y DE APOYO DIRIGIDO A LOS SERVIDORES DE LA REGISTRADURÍA NACIONAL DEL ESTADO CIVIL  NACIONAL</t>
  </si>
  <si>
    <t>ADQUISICIÓN , CONSTRUCCIÓN Y AMPLIACIÓN DE SEDES PARA LA REGISTRADURÍA NACIONAL DEL ESTADO CIVIL, A NIVEL  NACIONAL</t>
  </si>
  <si>
    <t>MEJORAMIENTO Y RENOVACIÓN DE LA INFRAESTRUCTURA TECNOLÓGICA PARA LA REGISTRADURÍA NACIONAL DEL ESTADO CIVIL  NACIONAL</t>
  </si>
  <si>
    <t>FORTALECIMIENTO SISTEMA DE GESTIÓN DOCUMENTAL REGISTRADURÍA NACIONAL DEL ESTADO CIVIL.   NACIONAL</t>
  </si>
  <si>
    <t>FORTALECIMIENTO DE LAS CAPACIDADES Y OPERACIÓN DE LA INFRAESTRUCTURA TECNOLÓGICA DE LA ORGANIZACIÓN ELECTORAL.  NACIONAL</t>
  </si>
  <si>
    <t>PRESUPUESTO FONDO ROTATORIO 2025</t>
  </si>
  <si>
    <t>REC</t>
  </si>
  <si>
    <t>6</t>
  </si>
  <si>
    <t>IMPLEMENTACIÓN DE LA SEGURIDAD DE LA INFORMACIÓN EN LA ORGANIZACIÓN ELECTORAL.  BOGOTÁ</t>
  </si>
  <si>
    <t>28</t>
  </si>
  <si>
    <t>29</t>
  </si>
  <si>
    <t>TOTAL PRESUPUESTO FRR 2025</t>
  </si>
  <si>
    <t>Proyectos de inversión FRR (propios) - vigencia 2026</t>
  </si>
  <si>
    <t>Total inversión FRR (propios + nación)</t>
  </si>
  <si>
    <t>Maquinaria para usos especiales</t>
  </si>
  <si>
    <t xml:space="preserve">Indemnizaciones de capital relacionadas con seguros de vida </t>
  </si>
  <si>
    <t>Aprovechamientos</t>
  </si>
  <si>
    <t>Costas procesales</t>
  </si>
  <si>
    <t>Mayores valores pagados</t>
  </si>
  <si>
    <t>Apropiado Vig. 2025</t>
  </si>
  <si>
    <t>Programado Vig.  2026</t>
  </si>
  <si>
    <t>CALCULO DE LOS INGRESOS CORRIENTES POR PRODUCTO - VIGENCIA 2026</t>
  </si>
  <si>
    <t>Disponible para Inversión</t>
  </si>
  <si>
    <t>Gasto de funcionamiento  y Deuda interna</t>
  </si>
  <si>
    <t>ANTEPROYECTO DE PRESUPUESTO DE INGRESO - VIGENCIA 2026</t>
  </si>
  <si>
    <t>ANTEPROYECTO DE PRESUPUESTO: FONDO ROTATORIO DE LA REGISTRADURÍA  - Vigencia - 2026</t>
  </si>
  <si>
    <t>Duplicados y rectificaciones cédula de ciudadanía amarilla con hologramas</t>
  </si>
  <si>
    <t>REDISEÑO Y CONSTRUCCIÓN DEL REGISTRO CIVIL ALINEADO CON EL GOBIERNO DE DATOS E INFORMACIÓN NACIONAL</t>
  </si>
  <si>
    <t>Proyectos de inversión FRR (nación) - vigencia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</si>
</sst>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 #,##0;[Red]\-&quot;$&quot;\ #,##0"/>
    <numFmt numFmtId="41" formatCode="_-* #,##0_-;\-* #,##0_-;_-* &quot;-&quot;_-;_-@_-"/>
    <numFmt numFmtId="43" formatCode="_-* #,##0.00_-;\-* #,##0.00_-;_-* &quot;-&quot;??_-;_-@_-"/>
    <numFmt numFmtId="164" formatCode="_-&quot;$&quot;* #,##0.00_-;\-&quot;$&quot;* #,##0.00_-;_-&quot;$&quot;* &quot;-&quot;??_-;_-@_-"/>
    <numFmt numFmtId="165" formatCode="_-* #,##0_-;\-* #,##0_-;_-* &quot;-&quot;??_-;_-@_-"/>
    <numFmt numFmtId="166" formatCode="00"/>
    <numFmt numFmtId="168" formatCode="_(&quot;$&quot;* #,##0.00_);_(&quot;$&quot;* \(#,##0.00\);_(&quot;$&quot;* &quot;-&quot;??_);_(@_)"/>
    <numFmt numFmtId="172" formatCode="_ &quot;$&quot;\ * #,##0.00_ ;_ &quot;$&quot;\ * \-#,##0.00_ ;_ &quot;$&quot;\ * &quot;-&quot;??_ ;_ @_ "/>
    <numFmt numFmtId="176" formatCode="0.000%"/>
  </numFmts>
  <fonts count="66" x14ac:knownFonts="1">
    <font>
      <sz val="11"/>
      <color theme="1"/>
      <name val="Calibri"/>
      <family val="2"/>
      <scheme val="minor"/>
    </font>
    <font>
      <sz val="10"/>
      <name val="Arial Narrow"/>
      <family val="2"/>
    </font>
    <font>
      <b/>
      <sz val="9"/>
      <color indexed="81"/>
      <name val="Tahoma"/>
      <family val="2"/>
    </font>
    <font>
      <sz val="9"/>
      <color indexed="81"/>
      <name val="Tahoma"/>
      <family val="2"/>
    </font>
    <font>
      <b/>
      <sz val="9"/>
      <name val="Arial"/>
      <family val="2"/>
    </font>
    <font>
      <sz val="9"/>
      <name val="Arial"/>
      <family val="2"/>
    </font>
    <font>
      <b/>
      <sz val="8"/>
      <color indexed="81"/>
      <name val="Tahoma"/>
      <family val="2"/>
    </font>
    <font>
      <sz val="8"/>
      <color indexed="81"/>
      <name val="Tahoma"/>
      <family val="2"/>
    </font>
    <font>
      <b/>
      <sz val="11"/>
      <name val="Arial"/>
      <family val="2"/>
    </font>
    <font>
      <b/>
      <sz val="10"/>
      <name val="Arial"/>
      <family val="2"/>
    </font>
    <font>
      <sz val="10"/>
      <name val="Arial"/>
      <family val="2"/>
    </font>
    <font>
      <b/>
      <sz val="12"/>
      <name val="Arial"/>
      <family val="2"/>
    </font>
    <font>
      <sz val="7"/>
      <color indexed="81"/>
      <name val="Tahoma"/>
      <family val="2"/>
    </font>
    <font>
      <sz val="12"/>
      <name val="Arial"/>
      <family val="2"/>
    </font>
    <font>
      <sz val="11"/>
      <name val="Arial"/>
      <family val="2"/>
    </font>
    <font>
      <b/>
      <sz val="10"/>
      <name val="Arial Narrow"/>
      <family val="2"/>
    </font>
    <font>
      <sz val="11"/>
      <color theme="1"/>
      <name val="Calibri"/>
      <family val="2"/>
      <scheme val="minor"/>
    </font>
    <font>
      <sz val="9"/>
      <color rgb="FFFF0000"/>
      <name val="Arial"/>
      <family val="2"/>
    </font>
    <font>
      <sz val="9"/>
      <color theme="0"/>
      <name val="Arial"/>
      <family val="2"/>
    </font>
    <font>
      <b/>
      <sz val="12"/>
      <color theme="1"/>
      <name val="Arial"/>
      <family val="2"/>
    </font>
    <font>
      <b/>
      <sz val="9"/>
      <color theme="5" tint="-0.499984740745262"/>
      <name val="Arial"/>
      <family val="2"/>
    </font>
    <font>
      <sz val="11"/>
      <color theme="1"/>
      <name val="Arial"/>
      <family val="2"/>
    </font>
    <font>
      <b/>
      <sz val="11"/>
      <color theme="1"/>
      <name val="Arial"/>
      <family val="2"/>
    </font>
    <font>
      <sz val="11"/>
      <color rgb="FF000099"/>
      <name val="Arial"/>
      <family val="2"/>
    </font>
    <font>
      <b/>
      <sz val="9"/>
      <color theme="4" tint="-0.249977111117893"/>
      <name val="Arial"/>
      <family val="2"/>
    </font>
    <font>
      <b/>
      <sz val="11"/>
      <color theme="4" tint="-0.499984740745262"/>
      <name val="Arial"/>
      <family val="2"/>
    </font>
    <font>
      <b/>
      <sz val="9"/>
      <color theme="4" tint="-0.499984740745262"/>
      <name val="Arial"/>
      <family val="2"/>
    </font>
    <font>
      <sz val="11"/>
      <color theme="4" tint="-0.499984740745262"/>
      <name val="Arial"/>
      <family val="2"/>
    </font>
    <font>
      <b/>
      <sz val="11"/>
      <color theme="4" tint="-0.249977111117893"/>
      <name val="Arial"/>
      <family val="2"/>
    </font>
    <font>
      <b/>
      <sz val="11"/>
      <color theme="5" tint="-0.499984740745262"/>
      <name val="Arial"/>
      <family val="2"/>
    </font>
    <font>
      <sz val="11"/>
      <color theme="4" tint="-0.249977111117893"/>
      <name val="Arial"/>
      <family val="2"/>
    </font>
    <font>
      <sz val="11"/>
      <color theme="5" tint="-0.499984740745262"/>
      <name val="Arial"/>
      <family val="2"/>
    </font>
    <font>
      <b/>
      <sz val="12"/>
      <color theme="0"/>
      <name val="Arial"/>
      <family val="2"/>
    </font>
    <font>
      <sz val="9"/>
      <color theme="1"/>
      <name val="Arial"/>
      <family val="2"/>
    </font>
    <font>
      <b/>
      <sz val="12"/>
      <color theme="9" tint="-0.499984740745262"/>
      <name val="Arial"/>
      <family val="2"/>
    </font>
    <font>
      <sz val="12"/>
      <color theme="9" tint="-0.499984740745262"/>
      <name val="Arial"/>
      <family val="2"/>
    </font>
    <font>
      <b/>
      <sz val="11"/>
      <color rgb="FF000099"/>
      <name val="Arial"/>
      <family val="2"/>
    </font>
    <font>
      <b/>
      <sz val="11"/>
      <color theme="1"/>
      <name val="Calibri"/>
      <family val="2"/>
      <scheme val="minor"/>
    </font>
    <font>
      <sz val="10"/>
      <color theme="1"/>
      <name val="Arial"/>
      <family val="2"/>
    </font>
    <font>
      <sz val="12"/>
      <color theme="0"/>
      <name val="Arial"/>
      <family val="2"/>
    </font>
    <font>
      <b/>
      <sz val="10"/>
      <color theme="0"/>
      <name val="Arial Narrow"/>
      <family val="2"/>
    </font>
    <font>
      <b/>
      <sz val="13"/>
      <color theme="0"/>
      <name val="Arial Narrow"/>
      <family val="2"/>
    </font>
    <font>
      <b/>
      <sz val="14"/>
      <color theme="1"/>
      <name val="Calibri"/>
      <family val="2"/>
      <scheme val="minor"/>
    </font>
    <font>
      <b/>
      <sz val="10"/>
      <color rgb="FF000099"/>
      <name val="Arial"/>
      <family val="2"/>
    </font>
    <font>
      <sz val="12"/>
      <color theme="1"/>
      <name val="Arial"/>
      <family val="2"/>
    </font>
    <font>
      <b/>
      <sz val="20"/>
      <color theme="0"/>
      <name val="Arial Narrow"/>
      <family val="2"/>
    </font>
    <font>
      <sz val="11"/>
      <color theme="1"/>
      <name val="Arial Narrow"/>
      <family val="2"/>
    </font>
    <font>
      <sz val="9"/>
      <color theme="1"/>
      <name val="Arial Narrow"/>
      <family val="2"/>
    </font>
    <font>
      <sz val="9"/>
      <color theme="1"/>
      <name val="Calibri"/>
      <family val="2"/>
      <scheme val="minor"/>
    </font>
    <font>
      <sz val="9"/>
      <name val="Arial Narrow"/>
      <family val="2"/>
    </font>
    <font>
      <sz val="10"/>
      <color theme="1"/>
      <name val="Arial Narrow"/>
      <family val="2"/>
    </font>
    <font>
      <b/>
      <sz val="9"/>
      <color theme="1"/>
      <name val="Arial Narrow"/>
      <family val="2"/>
    </font>
    <font>
      <b/>
      <sz val="10"/>
      <color theme="1"/>
      <name val="Arial Narrow"/>
      <family val="2"/>
    </font>
    <font>
      <b/>
      <sz val="9"/>
      <color theme="1"/>
      <name val="Calibri"/>
      <family val="2"/>
      <scheme val="minor"/>
    </font>
    <font>
      <sz val="10"/>
      <color theme="0"/>
      <name val="Arial Narrow"/>
      <family val="2"/>
    </font>
    <font>
      <sz val="10"/>
      <color theme="9" tint="-0.249977111117893"/>
      <name val="Arial Narrow"/>
      <family val="2"/>
    </font>
    <font>
      <sz val="12"/>
      <color theme="5" tint="-0.499984740745262"/>
      <name val="Arial"/>
      <family val="2"/>
    </font>
    <font>
      <b/>
      <sz val="12"/>
      <color theme="5" tint="-0.499984740745262"/>
      <name val="Arial"/>
      <family val="2"/>
    </font>
    <font>
      <b/>
      <sz val="14"/>
      <color theme="1"/>
      <name val="Arial"/>
      <family val="2"/>
    </font>
    <font>
      <b/>
      <sz val="11"/>
      <color theme="0"/>
      <name val="Arial Narrow"/>
      <family val="2"/>
    </font>
    <font>
      <sz val="11"/>
      <name val="Arial Narrow"/>
      <family val="2"/>
    </font>
    <font>
      <b/>
      <sz val="12"/>
      <color theme="0"/>
      <name val="Arial Narrow"/>
      <family val="2"/>
    </font>
    <font>
      <sz val="11"/>
      <color theme="0"/>
      <name val="Arial"/>
      <family val="2"/>
    </font>
    <font>
      <b/>
      <sz val="10"/>
      <color theme="0"/>
      <name val="Arial"/>
      <family val="2"/>
    </font>
    <font>
      <b/>
      <sz val="9"/>
      <color theme="0"/>
      <name val="Arial"/>
      <family val="2"/>
    </font>
    <font>
      <b/>
      <sz val="11"/>
      <color theme="0"/>
      <name val="Arial"/>
      <family val="2"/>
    </font>
  </fonts>
  <fills count="20">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9" tint="0.59999389629810485"/>
        <bgColor indexed="64"/>
      </patternFill>
    </fill>
    <fill>
      <patternFill patternType="solid">
        <fgColor theme="0"/>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4" tint="-0.249977111117893"/>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1"/>
        <bgColor indexed="64"/>
      </patternFill>
    </fill>
    <fill>
      <patternFill patternType="solid">
        <fgColor theme="4" tint="-0.499984740745262"/>
        <bgColor indexed="64"/>
      </patternFill>
    </fill>
    <fill>
      <patternFill patternType="solid">
        <fgColor theme="5" tint="0.59999389629810485"/>
        <bgColor indexed="64"/>
      </patternFill>
    </fill>
    <fill>
      <patternFill patternType="solid">
        <fgColor rgb="FFFFFFCC"/>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rgb="FFCCFFFF"/>
        <bgColor indexed="64"/>
      </patternFill>
    </fill>
    <fill>
      <patternFill patternType="solid">
        <fgColor theme="7" tint="0.39997558519241921"/>
        <bgColor indexed="64"/>
      </patternFill>
    </fill>
  </fills>
  <borders count="53">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s>
  <cellStyleXfs count="11">
    <xf numFmtId="0" fontId="0" fillId="0" borderId="0"/>
    <xf numFmtId="43" fontId="16" fillId="0" borderId="0" applyFont="0" applyFill="0" applyBorder="0" applyAlignment="0" applyProtection="0"/>
    <xf numFmtId="41" fontId="16" fillId="0" borderId="0" applyFont="0" applyFill="0" applyBorder="0" applyAlignment="0" applyProtection="0"/>
    <xf numFmtId="43" fontId="10" fillId="0" borderId="0" applyFont="0" applyFill="0" applyBorder="0" applyAlignment="0" applyProtection="0"/>
    <xf numFmtId="168" fontId="10" fillId="0" borderId="0" applyFont="0" applyFill="0" applyBorder="0" applyAlignment="0" applyProtection="0"/>
    <xf numFmtId="172" fontId="10" fillId="0" borderId="0" applyFont="0" applyFill="0" applyBorder="0" applyAlignment="0" applyProtection="0"/>
    <xf numFmtId="164" fontId="10" fillId="0" borderId="0" applyFont="0" applyFill="0" applyBorder="0" applyAlignment="0" applyProtection="0"/>
    <xf numFmtId="166" fontId="1" fillId="0" borderId="0" applyFill="0">
      <alignment horizontal="center" vertical="center" wrapText="1"/>
    </xf>
    <xf numFmtId="0" fontId="10" fillId="0" borderId="0"/>
    <xf numFmtId="9" fontId="10" fillId="0" borderId="0" applyFont="0" applyFill="0" applyBorder="0" applyAlignment="0" applyProtection="0"/>
    <xf numFmtId="9" fontId="16" fillId="0" borderId="0" applyFont="0" applyFill="0" applyBorder="0" applyAlignment="0" applyProtection="0"/>
  </cellStyleXfs>
  <cellXfs count="702">
    <xf numFmtId="0" fontId="0" fillId="0" borderId="0" xfId="0"/>
    <xf numFmtId="37" fontId="5" fillId="0" borderId="0" xfId="0" applyNumberFormat="1" applyFont="1" applyAlignment="1">
      <alignment vertical="center"/>
    </xf>
    <xf numFmtId="4" fontId="5" fillId="0" borderId="0" xfId="0" applyNumberFormat="1" applyFont="1" applyAlignment="1">
      <alignment vertical="center"/>
    </xf>
    <xf numFmtId="3" fontId="5" fillId="0" borderId="0" xfId="0" applyNumberFormat="1" applyFont="1" applyAlignment="1">
      <alignment vertical="center"/>
    </xf>
    <xf numFmtId="37" fontId="4" fillId="0" borderId="1" xfId="0" applyNumberFormat="1" applyFont="1" applyBorder="1" applyAlignment="1">
      <alignment horizontal="center" vertical="center"/>
    </xf>
    <xf numFmtId="37" fontId="4" fillId="0" borderId="0" xfId="0" applyNumberFormat="1" applyFont="1" applyAlignment="1">
      <alignment horizontal="center" vertical="center"/>
    </xf>
    <xf numFmtId="37" fontId="4" fillId="0" borderId="2" xfId="0" applyNumberFormat="1" applyFont="1" applyBorder="1" applyAlignment="1">
      <alignment vertical="center"/>
    </xf>
    <xf numFmtId="37" fontId="4" fillId="0" borderId="3" xfId="0" applyNumberFormat="1" applyFont="1" applyBorder="1" applyAlignment="1">
      <alignment vertical="center"/>
    </xf>
    <xf numFmtId="37" fontId="4" fillId="0" borderId="4" xfId="0" applyNumberFormat="1" applyFont="1" applyBorder="1" applyAlignment="1">
      <alignment vertical="center"/>
    </xf>
    <xf numFmtId="37" fontId="4" fillId="0" borderId="5" xfId="0" applyNumberFormat="1" applyFont="1" applyBorder="1" applyAlignment="1">
      <alignment vertical="center"/>
    </xf>
    <xf numFmtId="37" fontId="4" fillId="0" borderId="6" xfId="0" applyNumberFormat="1" applyFont="1" applyBorder="1" applyAlignment="1">
      <alignment vertical="center"/>
    </xf>
    <xf numFmtId="37" fontId="4" fillId="0" borderId="7" xfId="0" applyNumberFormat="1" applyFont="1" applyBorder="1" applyAlignment="1">
      <alignment vertical="center"/>
    </xf>
    <xf numFmtId="37" fontId="4" fillId="0" borderId="8" xfId="0" applyNumberFormat="1" applyFont="1" applyBorder="1" applyAlignment="1">
      <alignment horizontal="justify" vertical="center" wrapText="1"/>
    </xf>
    <xf numFmtId="37" fontId="4" fillId="0" borderId="6" xfId="0" applyNumberFormat="1" applyFont="1" applyBorder="1" applyAlignment="1">
      <alignment horizontal="justify" vertical="center" wrapText="1"/>
    </xf>
    <xf numFmtId="37" fontId="4" fillId="0" borderId="7" xfId="0" applyNumberFormat="1" applyFont="1" applyBorder="1" applyAlignment="1">
      <alignment horizontal="justify" vertical="center" wrapText="1"/>
    </xf>
    <xf numFmtId="39" fontId="5" fillId="0" borderId="6" xfId="0" applyNumberFormat="1" applyFont="1" applyBorder="1" applyAlignment="1">
      <alignment vertical="center"/>
    </xf>
    <xf numFmtId="37" fontId="5" fillId="0" borderId="6" xfId="0" applyNumberFormat="1" applyFont="1" applyBorder="1" applyAlignment="1">
      <alignment vertical="center"/>
    </xf>
    <xf numFmtId="37" fontId="5" fillId="0" borderId="7" xfId="0" applyNumberFormat="1" applyFont="1" applyBorder="1" applyAlignment="1">
      <alignment vertical="center"/>
    </xf>
    <xf numFmtId="37" fontId="4" fillId="0" borderId="5" xfId="0" applyNumberFormat="1" applyFont="1" applyBorder="1" applyAlignment="1">
      <alignment vertical="center" wrapText="1"/>
    </xf>
    <xf numFmtId="37" fontId="4" fillId="0" borderId="6" xfId="0" applyNumberFormat="1" applyFont="1" applyBorder="1" applyAlignment="1">
      <alignment vertical="center" wrapText="1"/>
    </xf>
    <xf numFmtId="37" fontId="4" fillId="0" borderId="7" xfId="0" applyNumberFormat="1" applyFont="1" applyBorder="1" applyAlignment="1">
      <alignment vertical="center" wrapText="1"/>
    </xf>
    <xf numFmtId="37" fontId="5" fillId="0" borderId="6" xfId="0" applyNumberFormat="1" applyFont="1" applyBorder="1" applyAlignment="1">
      <alignment horizontal="right" vertical="center" wrapText="1"/>
    </xf>
    <xf numFmtId="37" fontId="5" fillId="0" borderId="7" xfId="0" applyNumberFormat="1" applyFont="1" applyBorder="1" applyAlignment="1">
      <alignment horizontal="justify" vertical="center" wrapText="1"/>
    </xf>
    <xf numFmtId="37" fontId="4" fillId="0" borderId="0" xfId="0" applyNumberFormat="1" applyFont="1" applyAlignment="1">
      <alignment vertical="center"/>
    </xf>
    <xf numFmtId="37" fontId="5" fillId="0" borderId="6" xfId="0" applyNumberFormat="1" applyFont="1" applyBorder="1" applyAlignment="1">
      <alignment vertical="center" wrapText="1"/>
    </xf>
    <xf numFmtId="37" fontId="5" fillId="0" borderId="7" xfId="0" applyNumberFormat="1" applyFont="1" applyBorder="1" applyAlignment="1">
      <alignment vertical="center" wrapText="1"/>
    </xf>
    <xf numFmtId="37" fontId="4" fillId="3" borderId="6" xfId="0" applyNumberFormat="1" applyFont="1" applyFill="1" applyBorder="1" applyAlignment="1">
      <alignment vertical="center" wrapText="1"/>
    </xf>
    <xf numFmtId="37" fontId="4" fillId="3" borderId="7" xfId="0" applyNumberFormat="1" applyFont="1" applyFill="1" applyBorder="1" applyAlignment="1">
      <alignment vertical="center" wrapText="1"/>
    </xf>
    <xf numFmtId="37" fontId="5" fillId="0" borderId="11" xfId="0" applyNumberFormat="1" applyFont="1" applyBorder="1" applyAlignment="1">
      <alignment vertical="center"/>
    </xf>
    <xf numFmtId="37" fontId="5" fillId="0" borderId="12" xfId="0" applyNumberFormat="1" applyFont="1" applyBorder="1" applyAlignment="1">
      <alignment vertical="center"/>
    </xf>
    <xf numFmtId="0" fontId="9" fillId="0" borderId="0" xfId="0" applyFont="1" applyAlignment="1">
      <alignment vertical="center" wrapText="1"/>
    </xf>
    <xf numFmtId="0" fontId="10" fillId="2" borderId="5" xfId="0" applyFont="1" applyFill="1" applyBorder="1" applyAlignment="1">
      <alignment vertical="center" wrapText="1"/>
    </xf>
    <xf numFmtId="0" fontId="10" fillId="2" borderId="13" xfId="0" applyFont="1" applyFill="1" applyBorder="1" applyAlignment="1">
      <alignment vertical="center" wrapText="1"/>
    </xf>
    <xf numFmtId="37" fontId="5" fillId="5" borderId="6" xfId="0" applyNumberFormat="1" applyFont="1" applyFill="1" applyBorder="1" applyAlignment="1">
      <alignment vertical="center"/>
    </xf>
    <xf numFmtId="37" fontId="5" fillId="6" borderId="0" xfId="0" applyNumberFormat="1" applyFont="1" applyFill="1" applyAlignment="1">
      <alignment vertical="center"/>
    </xf>
    <xf numFmtId="39" fontId="5" fillId="5" borderId="6" xfId="0" applyNumberFormat="1" applyFont="1" applyFill="1" applyBorder="1" applyAlignment="1">
      <alignment vertical="center"/>
    </xf>
    <xf numFmtId="37" fontId="4" fillId="5" borderId="8" xfId="0" applyNumberFormat="1" applyFont="1" applyFill="1" applyBorder="1" applyAlignment="1">
      <alignment horizontal="justify" vertical="center" wrapText="1"/>
    </xf>
    <xf numFmtId="37" fontId="5" fillId="5" borderId="6" xfId="0" applyNumberFormat="1" applyFont="1" applyFill="1" applyBorder="1" applyAlignment="1">
      <alignment horizontal="right" vertical="center" wrapText="1"/>
    </xf>
    <xf numFmtId="37" fontId="4" fillId="5" borderId="7" xfId="0" applyNumberFormat="1" applyFont="1" applyFill="1" applyBorder="1" applyAlignment="1">
      <alignment horizontal="justify" vertical="center" wrapText="1"/>
    </xf>
    <xf numFmtId="37" fontId="5" fillId="5" borderId="0" xfId="0" applyNumberFormat="1" applyFont="1" applyFill="1" applyAlignment="1">
      <alignment vertical="center"/>
    </xf>
    <xf numFmtId="39" fontId="5" fillId="5" borderId="6" xfId="0" applyNumberFormat="1" applyFont="1" applyFill="1" applyBorder="1" applyAlignment="1">
      <alignment horizontal="right" vertical="center" wrapText="1"/>
    </xf>
    <xf numFmtId="4" fontId="5" fillId="5" borderId="0" xfId="0" applyNumberFormat="1" applyFont="1" applyFill="1" applyAlignment="1">
      <alignment vertical="center"/>
    </xf>
    <xf numFmtId="3" fontId="5" fillId="5" borderId="0" xfId="0" applyNumberFormat="1" applyFont="1" applyFill="1" applyAlignment="1">
      <alignment vertical="center"/>
    </xf>
    <xf numFmtId="37" fontId="4" fillId="5" borderId="6" xfId="0" applyNumberFormat="1" applyFont="1" applyFill="1" applyBorder="1" applyAlignment="1">
      <alignment vertical="center" wrapText="1"/>
    </xf>
    <xf numFmtId="37" fontId="4" fillId="5" borderId="7" xfId="0" applyNumberFormat="1" applyFont="1" applyFill="1" applyBorder="1" applyAlignment="1">
      <alignment vertical="center" wrapText="1"/>
    </xf>
    <xf numFmtId="0" fontId="11" fillId="2" borderId="5" xfId="0" applyFont="1" applyFill="1" applyBorder="1" applyAlignment="1">
      <alignment vertical="center"/>
    </xf>
    <xf numFmtId="37" fontId="18" fillId="5" borderId="0" xfId="0" applyNumberFormat="1" applyFont="1" applyFill="1" applyAlignment="1">
      <alignment vertical="center"/>
    </xf>
    <xf numFmtId="0" fontId="19" fillId="7" borderId="13" xfId="0" applyFont="1" applyFill="1" applyBorder="1" applyAlignment="1">
      <alignment vertical="center" wrapText="1"/>
    </xf>
    <xf numFmtId="0" fontId="8" fillId="7" borderId="2" xfId="0" applyFont="1" applyFill="1" applyBorder="1" applyAlignment="1">
      <alignment horizontal="center" vertical="center"/>
    </xf>
    <xf numFmtId="37" fontId="4" fillId="5" borderId="0" xfId="0" applyNumberFormat="1" applyFont="1" applyFill="1" applyAlignment="1">
      <alignment horizontal="center" vertical="center"/>
    </xf>
    <xf numFmtId="4" fontId="5" fillId="5" borderId="0" xfId="0" applyNumberFormat="1" applyFont="1" applyFill="1" applyAlignment="1">
      <alignment horizontal="right" vertical="center"/>
    </xf>
    <xf numFmtId="37" fontId="5" fillId="5" borderId="6" xfId="0" applyNumberFormat="1" applyFont="1" applyFill="1" applyBorder="1" applyAlignment="1">
      <alignment horizontal="justify" vertical="center" wrapText="1"/>
    </xf>
    <xf numFmtId="37" fontId="4" fillId="5" borderId="0" xfId="0" applyNumberFormat="1" applyFont="1" applyFill="1" applyAlignment="1">
      <alignment vertical="center"/>
    </xf>
    <xf numFmtId="0" fontId="8" fillId="7" borderId="15" xfId="0" applyFont="1" applyFill="1" applyBorder="1" applyAlignment="1">
      <alignment horizontal="center" vertical="center" wrapText="1"/>
    </xf>
    <xf numFmtId="37" fontId="5" fillId="0" borderId="0" xfId="0" applyNumberFormat="1" applyFont="1" applyAlignment="1">
      <alignment horizontal="justify" vertical="center" wrapText="1"/>
    </xf>
    <xf numFmtId="37" fontId="8" fillId="0" borderId="2" xfId="0" applyNumberFormat="1" applyFont="1" applyBorder="1" applyAlignment="1">
      <alignment vertical="center"/>
    </xf>
    <xf numFmtId="37" fontId="8" fillId="0" borderId="3" xfId="0" applyNumberFormat="1" applyFont="1" applyBorder="1" applyAlignment="1">
      <alignment vertical="center"/>
    </xf>
    <xf numFmtId="37" fontId="8" fillId="0" borderId="4" xfId="0" applyNumberFormat="1" applyFont="1" applyBorder="1" applyAlignment="1">
      <alignment vertical="center"/>
    </xf>
    <xf numFmtId="37" fontId="8" fillId="0" borderId="5" xfId="0" applyNumberFormat="1" applyFont="1" applyBorder="1" applyAlignment="1">
      <alignment vertical="center"/>
    </xf>
    <xf numFmtId="37" fontId="8" fillId="0" borderId="6" xfId="0" applyNumberFormat="1" applyFont="1" applyBorder="1" applyAlignment="1">
      <alignment vertical="center"/>
    </xf>
    <xf numFmtId="37" fontId="8" fillId="0" borderId="7" xfId="0" applyNumberFormat="1" applyFont="1" applyBorder="1" applyAlignment="1">
      <alignment vertical="center"/>
    </xf>
    <xf numFmtId="37" fontId="9" fillId="4" borderId="22" xfId="0" applyNumberFormat="1" applyFont="1" applyFill="1" applyBorder="1" applyAlignment="1">
      <alignment horizontal="center" vertical="center" wrapText="1"/>
    </xf>
    <xf numFmtId="4" fontId="9" fillId="4" borderId="23" xfId="0" applyNumberFormat="1" applyFont="1" applyFill="1" applyBorder="1" applyAlignment="1">
      <alignment horizontal="center" vertical="center"/>
    </xf>
    <xf numFmtId="37" fontId="9" fillId="4" borderId="24" xfId="0" applyNumberFormat="1" applyFont="1" applyFill="1" applyBorder="1" applyAlignment="1">
      <alignment horizontal="center" vertical="center" wrapText="1"/>
    </xf>
    <xf numFmtId="37" fontId="9" fillId="4" borderId="24" xfId="0" applyNumberFormat="1" applyFont="1" applyFill="1" applyBorder="1" applyAlignment="1">
      <alignment horizontal="center" vertical="center"/>
    </xf>
    <xf numFmtId="4" fontId="9" fillId="4" borderId="24" xfId="0" applyNumberFormat="1" applyFont="1" applyFill="1" applyBorder="1" applyAlignment="1">
      <alignment horizontal="center" vertical="center"/>
    </xf>
    <xf numFmtId="3" fontId="9" fillId="4" borderId="24" xfId="0" applyNumberFormat="1" applyFont="1" applyFill="1" applyBorder="1" applyAlignment="1">
      <alignment horizontal="center" vertical="center"/>
    </xf>
    <xf numFmtId="37" fontId="9" fillId="4" borderId="25" xfId="0" applyNumberFormat="1" applyFont="1" applyFill="1" applyBorder="1" applyAlignment="1">
      <alignment horizontal="center" vertical="center"/>
    </xf>
    <xf numFmtId="4" fontId="9" fillId="4" borderId="25" xfId="0" applyNumberFormat="1" applyFont="1" applyFill="1" applyBorder="1" applyAlignment="1">
      <alignment horizontal="center" vertical="center"/>
    </xf>
    <xf numFmtId="3" fontId="9" fillId="4" borderId="25" xfId="0" applyNumberFormat="1" applyFont="1" applyFill="1" applyBorder="1" applyAlignment="1">
      <alignment horizontal="center" vertical="center"/>
    </xf>
    <xf numFmtId="37" fontId="5" fillId="5" borderId="7" xfId="0" applyNumberFormat="1" applyFont="1" applyFill="1" applyBorder="1" applyAlignment="1">
      <alignment horizontal="justify" vertical="center" wrapText="1"/>
    </xf>
    <xf numFmtId="0" fontId="21" fillId="0" borderId="0" xfId="0" applyFont="1" applyAlignment="1">
      <alignment vertical="center" wrapText="1"/>
    </xf>
    <xf numFmtId="49" fontId="22" fillId="0" borderId="0" xfId="0" applyNumberFormat="1" applyFont="1" applyAlignment="1">
      <alignment horizontal="center" vertical="center" wrapText="1"/>
    </xf>
    <xf numFmtId="4" fontId="21" fillId="0" borderId="0" xfId="0" applyNumberFormat="1" applyFont="1" applyAlignment="1">
      <alignment vertical="center" wrapText="1"/>
    </xf>
    <xf numFmtId="49" fontId="22" fillId="0" borderId="5" xfId="0" applyNumberFormat="1" applyFont="1" applyBorder="1" applyAlignment="1">
      <alignment horizontal="center" vertical="center" wrapText="1"/>
    </xf>
    <xf numFmtId="49" fontId="21" fillId="0" borderId="11" xfId="0" applyNumberFormat="1" applyFont="1" applyBorder="1" applyAlignment="1">
      <alignment horizontal="center" vertical="center" wrapText="1"/>
    </xf>
    <xf numFmtId="43" fontId="21" fillId="0" borderId="0" xfId="1" applyFont="1" applyAlignment="1">
      <alignment vertical="center" wrapText="1"/>
    </xf>
    <xf numFmtId="49" fontId="22" fillId="0" borderId="11" xfId="0" applyNumberFormat="1" applyFont="1" applyBorder="1" applyAlignment="1">
      <alignment horizontal="center" vertical="center" wrapText="1"/>
    </xf>
    <xf numFmtId="49" fontId="22" fillId="8" borderId="5" xfId="0" applyNumberFormat="1" applyFont="1" applyFill="1" applyBorder="1" applyAlignment="1">
      <alignment horizontal="center" vertical="center" wrapText="1"/>
    </xf>
    <xf numFmtId="49" fontId="22" fillId="8" borderId="11" xfId="0" applyNumberFormat="1" applyFont="1" applyFill="1" applyBorder="1" applyAlignment="1">
      <alignment horizontal="center" vertical="center" wrapText="1"/>
    </xf>
    <xf numFmtId="49" fontId="21" fillId="8" borderId="11" xfId="0" applyNumberFormat="1" applyFont="1" applyFill="1" applyBorder="1" applyAlignment="1">
      <alignment horizontal="center" vertical="center" wrapText="1"/>
    </xf>
    <xf numFmtId="0" fontId="22" fillId="8" borderId="11" xfId="0" applyFont="1" applyFill="1" applyBorder="1" applyAlignment="1">
      <alignment vertical="center" wrapText="1"/>
    </xf>
    <xf numFmtId="49" fontId="22" fillId="5" borderId="5" xfId="0" applyNumberFormat="1" applyFont="1" applyFill="1" applyBorder="1" applyAlignment="1">
      <alignment horizontal="center" vertical="center" wrapText="1"/>
    </xf>
    <xf numFmtId="49" fontId="22" fillId="5" borderId="11" xfId="0" applyNumberFormat="1" applyFont="1" applyFill="1" applyBorder="1" applyAlignment="1">
      <alignment horizontal="center" vertical="center" wrapText="1"/>
    </xf>
    <xf numFmtId="49" fontId="21" fillId="5" borderId="11" xfId="0" applyNumberFormat="1" applyFont="1" applyFill="1" applyBorder="1" applyAlignment="1">
      <alignment horizontal="center" vertical="center" wrapText="1"/>
    </xf>
    <xf numFmtId="0" fontId="22" fillId="5" borderId="11" xfId="0" applyFont="1" applyFill="1" applyBorder="1" applyAlignment="1">
      <alignment vertical="center" wrapText="1"/>
    </xf>
    <xf numFmtId="3" fontId="21" fillId="0" borderId="0" xfId="0" applyNumberFormat="1" applyFont="1" applyAlignment="1">
      <alignment vertical="center" wrapText="1"/>
    </xf>
    <xf numFmtId="49" fontId="21" fillId="0" borderId="5" xfId="0" applyNumberFormat="1" applyFont="1" applyBorder="1" applyAlignment="1">
      <alignment horizontal="center" vertical="center" wrapText="1"/>
    </xf>
    <xf numFmtId="0" fontId="21" fillId="0" borderId="11" xfId="0" applyFont="1" applyBorder="1" applyAlignment="1">
      <alignment vertical="center" wrapText="1"/>
    </xf>
    <xf numFmtId="49" fontId="21" fillId="5" borderId="5" xfId="0" applyNumberFormat="1" applyFont="1" applyFill="1" applyBorder="1" applyAlignment="1">
      <alignment horizontal="center" vertical="center" wrapText="1"/>
    </xf>
    <xf numFmtId="0" fontId="21" fillId="5" borderId="11" xfId="0" applyFont="1" applyFill="1" applyBorder="1" applyAlignment="1">
      <alignment vertical="center" wrapText="1"/>
    </xf>
    <xf numFmtId="49" fontId="21" fillId="0" borderId="0" xfId="0" applyNumberFormat="1" applyFont="1" applyAlignment="1">
      <alignment horizontal="center" vertical="center" wrapText="1"/>
    </xf>
    <xf numFmtId="0" fontId="23" fillId="0" borderId="0" xfId="0" applyFont="1" applyAlignment="1">
      <alignment vertical="center" wrapText="1"/>
    </xf>
    <xf numFmtId="4" fontId="23" fillId="0" borderId="0" xfId="0" applyNumberFormat="1" applyFont="1" applyAlignment="1">
      <alignment vertical="center" wrapText="1"/>
    </xf>
    <xf numFmtId="37" fontId="24" fillId="0" borderId="2" xfId="0" applyNumberFormat="1" applyFont="1" applyBorder="1" applyAlignment="1">
      <alignment vertical="center"/>
    </xf>
    <xf numFmtId="37" fontId="24" fillId="0" borderId="3" xfId="0" applyNumberFormat="1" applyFont="1" applyBorder="1" applyAlignment="1">
      <alignment vertical="center"/>
    </xf>
    <xf numFmtId="37" fontId="24" fillId="0" borderId="5" xfId="0" applyNumberFormat="1" applyFont="1" applyBorder="1" applyAlignment="1">
      <alignment vertical="center"/>
    </xf>
    <xf numFmtId="37" fontId="24" fillId="0" borderId="6" xfId="0" applyNumberFormat="1" applyFont="1" applyBorder="1" applyAlignment="1">
      <alignment vertical="center"/>
    </xf>
    <xf numFmtId="37" fontId="25" fillId="0" borderId="5" xfId="0" applyNumberFormat="1" applyFont="1" applyBorder="1" applyAlignment="1">
      <alignment horizontal="justify" vertical="center" wrapText="1"/>
    </xf>
    <xf numFmtId="37" fontId="25" fillId="0" borderId="6" xfId="0" applyNumberFormat="1" applyFont="1" applyBorder="1" applyAlignment="1">
      <alignment horizontal="justify" vertical="center" wrapText="1"/>
    </xf>
    <xf numFmtId="37" fontId="25" fillId="0" borderId="7" xfId="0" applyNumberFormat="1" applyFont="1" applyBorder="1" applyAlignment="1">
      <alignment horizontal="justify" vertical="center" wrapText="1"/>
    </xf>
    <xf numFmtId="37" fontId="27" fillId="0" borderId="5" xfId="0" applyNumberFormat="1" applyFont="1" applyBorder="1" applyAlignment="1">
      <alignment vertical="center"/>
    </xf>
    <xf numFmtId="39" fontId="27" fillId="0" borderId="6" xfId="0" applyNumberFormat="1" applyFont="1" applyBorder="1" applyAlignment="1">
      <alignment vertical="center"/>
    </xf>
    <xf numFmtId="37" fontId="27" fillId="0" borderId="6" xfId="0" applyNumberFormat="1" applyFont="1" applyBorder="1" applyAlignment="1">
      <alignment vertical="center"/>
    </xf>
    <xf numFmtId="37" fontId="27" fillId="5" borderId="7" xfId="0" applyNumberFormat="1" applyFont="1" applyFill="1" applyBorder="1" applyAlignment="1">
      <alignment vertical="center"/>
    </xf>
    <xf numFmtId="37" fontId="25" fillId="0" borderId="5" xfId="0" applyNumberFormat="1" applyFont="1" applyBorder="1" applyAlignment="1">
      <alignment vertical="center" wrapText="1"/>
    </xf>
    <xf numFmtId="37" fontId="25" fillId="0" borderId="6" xfId="0" applyNumberFormat="1" applyFont="1" applyBorder="1" applyAlignment="1">
      <alignment vertical="center" wrapText="1"/>
    </xf>
    <xf numFmtId="37" fontId="25" fillId="0" borderId="7" xfId="0" applyNumberFormat="1" applyFont="1" applyBorder="1" applyAlignment="1">
      <alignment vertical="center" wrapText="1"/>
    </xf>
    <xf numFmtId="37" fontId="27" fillId="5" borderId="5" xfId="0" applyNumberFormat="1" applyFont="1" applyFill="1" applyBorder="1" applyAlignment="1">
      <alignment horizontal="justify" vertical="center" wrapText="1"/>
    </xf>
    <xf numFmtId="37" fontId="27" fillId="5" borderId="6" xfId="0" applyNumberFormat="1" applyFont="1" applyFill="1" applyBorder="1" applyAlignment="1">
      <alignment horizontal="justify" vertical="center" wrapText="1"/>
    </xf>
    <xf numFmtId="37" fontId="27" fillId="5" borderId="7" xfId="0" applyNumberFormat="1" applyFont="1" applyFill="1" applyBorder="1" applyAlignment="1">
      <alignment horizontal="justify" vertical="center" wrapText="1"/>
    </xf>
    <xf numFmtId="37" fontId="27" fillId="0" borderId="6" xfId="0" applyNumberFormat="1" applyFont="1" applyBorder="1" applyAlignment="1">
      <alignment horizontal="justify" vertical="center" wrapText="1"/>
    </xf>
    <xf numFmtId="37" fontId="27" fillId="5" borderId="5" xfId="0" applyNumberFormat="1" applyFont="1" applyFill="1" applyBorder="1" applyAlignment="1">
      <alignment vertical="center"/>
    </xf>
    <xf numFmtId="37" fontId="25" fillId="5" borderId="6" xfId="0" applyNumberFormat="1" applyFont="1" applyFill="1" applyBorder="1" applyAlignment="1">
      <alignment horizontal="justify" vertical="center" wrapText="1"/>
    </xf>
    <xf numFmtId="37" fontId="27" fillId="5" borderId="6" xfId="0" applyNumberFormat="1" applyFont="1" applyFill="1" applyBorder="1" applyAlignment="1">
      <alignment vertical="center"/>
    </xf>
    <xf numFmtId="37" fontId="27" fillId="0" borderId="6" xfId="0" applyNumberFormat="1" applyFont="1" applyBorder="1" applyAlignment="1">
      <alignment vertical="center" wrapText="1"/>
    </xf>
    <xf numFmtId="37" fontId="25" fillId="3" borderId="5" xfId="0" applyNumberFormat="1" applyFont="1" applyFill="1" applyBorder="1" applyAlignment="1">
      <alignment vertical="center" wrapText="1"/>
    </xf>
    <xf numFmtId="37" fontId="25" fillId="3" borderId="6" xfId="0" applyNumberFormat="1" applyFont="1" applyFill="1" applyBorder="1" applyAlignment="1">
      <alignment vertical="center" wrapText="1"/>
    </xf>
    <xf numFmtId="37" fontId="25" fillId="3" borderId="7" xfId="0" applyNumberFormat="1" applyFont="1" applyFill="1" applyBorder="1" applyAlignment="1">
      <alignment vertical="center" wrapText="1"/>
    </xf>
    <xf numFmtId="39" fontId="27" fillId="5" borderId="6" xfId="0" applyNumberFormat="1" applyFont="1" applyFill="1" applyBorder="1" applyAlignment="1">
      <alignment horizontal="right" vertical="center" wrapText="1"/>
    </xf>
    <xf numFmtId="37" fontId="27" fillId="0" borderId="0" xfId="0" applyNumberFormat="1" applyFont="1" applyAlignment="1">
      <alignment vertical="center"/>
    </xf>
    <xf numFmtId="37" fontId="27" fillId="0" borderId="11" xfId="0" applyNumberFormat="1" applyFont="1" applyBorder="1" applyAlignment="1">
      <alignment vertical="center"/>
    </xf>
    <xf numFmtId="39" fontId="27" fillId="5" borderId="6" xfId="0" applyNumberFormat="1" applyFont="1" applyFill="1" applyBorder="1" applyAlignment="1">
      <alignment vertical="center"/>
    </xf>
    <xf numFmtId="37" fontId="14" fillId="0" borderId="5" xfId="0" applyNumberFormat="1" applyFont="1" applyBorder="1" applyAlignment="1">
      <alignment vertical="center"/>
    </xf>
    <xf numFmtId="37" fontId="14" fillId="5" borderId="5" xfId="0" applyNumberFormat="1" applyFont="1" applyFill="1" applyBorder="1" applyAlignment="1">
      <alignment vertical="center"/>
    </xf>
    <xf numFmtId="37" fontId="28" fillId="0" borderId="5" xfId="0" applyNumberFormat="1" applyFont="1" applyBorder="1" applyAlignment="1">
      <alignment horizontal="justify" vertical="center" wrapText="1"/>
    </xf>
    <xf numFmtId="37" fontId="28" fillId="0" borderId="6" xfId="0" applyNumberFormat="1" applyFont="1" applyBorder="1" applyAlignment="1">
      <alignment horizontal="justify" vertical="center" wrapText="1"/>
    </xf>
    <xf numFmtId="39" fontId="28" fillId="0" borderId="6" xfId="0" applyNumberFormat="1" applyFont="1" applyBorder="1" applyAlignment="1">
      <alignment horizontal="justify" vertical="center" wrapText="1"/>
    </xf>
    <xf numFmtId="37" fontId="29" fillId="0" borderId="7" xfId="0" applyNumberFormat="1" applyFont="1" applyBorder="1" applyAlignment="1">
      <alignment horizontal="justify" vertical="center" wrapText="1"/>
    </xf>
    <xf numFmtId="39" fontId="30" fillId="0" borderId="6" xfId="0" applyNumberFormat="1" applyFont="1" applyBorder="1" applyAlignment="1">
      <alignment vertical="center"/>
    </xf>
    <xf numFmtId="37" fontId="14" fillId="0" borderId="6" xfId="0" applyNumberFormat="1" applyFont="1" applyBorder="1" applyAlignment="1">
      <alignment vertical="center"/>
    </xf>
    <xf numFmtId="37" fontId="31" fillId="0" borderId="7" xfId="0" applyNumberFormat="1" applyFont="1" applyBorder="1" applyAlignment="1">
      <alignment vertical="center"/>
    </xf>
    <xf numFmtId="37" fontId="14" fillId="5" borderId="6" xfId="0" applyNumberFormat="1" applyFont="1" applyFill="1" applyBorder="1" applyAlignment="1">
      <alignment vertical="center"/>
    </xf>
    <xf numFmtId="37" fontId="28" fillId="0" borderId="5" xfId="0" applyNumberFormat="1" applyFont="1" applyBorder="1" applyAlignment="1">
      <alignment vertical="center" wrapText="1"/>
    </xf>
    <xf numFmtId="37" fontId="28" fillId="0" borderId="6" xfId="0" applyNumberFormat="1" applyFont="1" applyBorder="1" applyAlignment="1">
      <alignment vertical="center" wrapText="1"/>
    </xf>
    <xf numFmtId="37" fontId="29" fillId="0" borderId="7" xfId="0" applyNumberFormat="1" applyFont="1" applyBorder="1" applyAlignment="1">
      <alignment vertical="center" wrapText="1"/>
    </xf>
    <xf numFmtId="37" fontId="30" fillId="5" borderId="5" xfId="0" applyNumberFormat="1" applyFont="1" applyFill="1" applyBorder="1" applyAlignment="1">
      <alignment horizontal="justify" vertical="center" wrapText="1"/>
    </xf>
    <xf numFmtId="37" fontId="30" fillId="5" borderId="6" xfId="0" applyNumberFormat="1" applyFont="1" applyFill="1" applyBorder="1" applyAlignment="1">
      <alignment horizontal="justify" vertical="center" wrapText="1"/>
    </xf>
    <xf numFmtId="37" fontId="31" fillId="5" borderId="7" xfId="0" applyNumberFormat="1" applyFont="1" applyFill="1" applyBorder="1" applyAlignment="1">
      <alignment horizontal="justify" vertical="center" wrapText="1"/>
    </xf>
    <xf numFmtId="41" fontId="14" fillId="0" borderId="5" xfId="2" applyFont="1" applyFill="1" applyBorder="1" applyAlignment="1">
      <alignment vertical="center"/>
    </xf>
    <xf numFmtId="37" fontId="14" fillId="0" borderId="6" xfId="0" applyNumberFormat="1" applyFont="1" applyBorder="1" applyAlignment="1">
      <alignment horizontal="right" vertical="center" wrapText="1"/>
    </xf>
    <xf numFmtId="37" fontId="31" fillId="0" borderId="7" xfId="0" applyNumberFormat="1" applyFont="1" applyBorder="1" applyAlignment="1">
      <alignment horizontal="justify" vertical="center" wrapText="1"/>
    </xf>
    <xf numFmtId="37" fontId="14" fillId="5" borderId="6" xfId="0" applyNumberFormat="1" applyFont="1" applyFill="1" applyBorder="1" applyAlignment="1">
      <alignment horizontal="justify" vertical="center" wrapText="1"/>
    </xf>
    <xf numFmtId="37" fontId="14" fillId="5" borderId="6" xfId="0" applyNumberFormat="1" applyFont="1" applyFill="1" applyBorder="1" applyAlignment="1">
      <alignment horizontal="right" vertical="center" wrapText="1"/>
    </xf>
    <xf numFmtId="39" fontId="30" fillId="5" borderId="6" xfId="0" applyNumberFormat="1" applyFont="1" applyFill="1" applyBorder="1" applyAlignment="1">
      <alignment vertical="center"/>
    </xf>
    <xf numFmtId="37" fontId="29" fillId="5" borderId="7" xfId="0" applyNumberFormat="1" applyFont="1" applyFill="1" applyBorder="1" applyAlignment="1">
      <alignment horizontal="justify" vertical="center" wrapText="1"/>
    </xf>
    <xf numFmtId="37" fontId="8" fillId="5" borderId="6" xfId="0" applyNumberFormat="1" applyFont="1" applyFill="1" applyBorder="1" applyAlignment="1">
      <alignment horizontal="justify" vertical="center" wrapText="1"/>
    </xf>
    <xf numFmtId="37" fontId="14" fillId="0" borderId="6" xfId="0" applyNumberFormat="1" applyFont="1" applyBorder="1" applyAlignment="1">
      <alignment vertical="center" wrapText="1"/>
    </xf>
    <xf numFmtId="37" fontId="31" fillId="0" borderId="7" xfId="0" applyNumberFormat="1" applyFont="1" applyBorder="1" applyAlignment="1">
      <alignment vertical="center" wrapText="1"/>
    </xf>
    <xf numFmtId="37" fontId="28" fillId="3" borderId="5" xfId="0" applyNumberFormat="1" applyFont="1" applyFill="1" applyBorder="1" applyAlignment="1">
      <alignment vertical="center" wrapText="1"/>
    </xf>
    <xf numFmtId="37" fontId="28" fillId="3" borderId="6" xfId="0" applyNumberFormat="1" applyFont="1" applyFill="1" applyBorder="1" applyAlignment="1">
      <alignment vertical="center" wrapText="1"/>
    </xf>
    <xf numFmtId="37" fontId="29" fillId="3" borderId="7" xfId="0" applyNumberFormat="1" applyFont="1" applyFill="1" applyBorder="1" applyAlignment="1">
      <alignment vertical="center" wrapText="1"/>
    </xf>
    <xf numFmtId="37" fontId="14" fillId="5" borderId="6" xfId="0" applyNumberFormat="1" applyFont="1" applyFill="1" applyBorder="1" applyAlignment="1">
      <alignment vertical="center" wrapText="1"/>
    </xf>
    <xf numFmtId="37" fontId="8" fillId="0" borderId="6" xfId="0" applyNumberFormat="1" applyFont="1" applyBorder="1" applyAlignment="1">
      <alignment vertical="center" wrapText="1"/>
    </xf>
    <xf numFmtId="39" fontId="14" fillId="0" borderId="6" xfId="0" applyNumberFormat="1" applyFont="1" applyBorder="1" applyAlignment="1">
      <alignment vertical="center"/>
    </xf>
    <xf numFmtId="37" fontId="30" fillId="5" borderId="5" xfId="0" applyNumberFormat="1" applyFont="1" applyFill="1" applyBorder="1" applyAlignment="1">
      <alignment vertical="center"/>
    </xf>
    <xf numFmtId="39" fontId="30" fillId="5" borderId="6" xfId="0" applyNumberFormat="1" applyFont="1" applyFill="1" applyBorder="1" applyAlignment="1">
      <alignment horizontal="right" vertical="center" wrapText="1"/>
    </xf>
    <xf numFmtId="37" fontId="30" fillId="5" borderId="6" xfId="0" applyNumberFormat="1" applyFont="1" applyFill="1" applyBorder="1" applyAlignment="1">
      <alignment vertical="center"/>
    </xf>
    <xf numFmtId="37" fontId="8" fillId="5" borderId="7" xfId="0" applyNumberFormat="1" applyFont="1" applyFill="1" applyBorder="1" applyAlignment="1">
      <alignment horizontal="justify" vertical="center" wrapText="1"/>
    </xf>
    <xf numFmtId="39" fontId="14" fillId="5" borderId="6" xfId="0" applyNumberFormat="1" applyFont="1" applyFill="1" applyBorder="1" applyAlignment="1">
      <alignment vertical="center"/>
    </xf>
    <xf numFmtId="39" fontId="14" fillId="5" borderId="6" xfId="0" applyNumberFormat="1" applyFont="1" applyFill="1" applyBorder="1" applyAlignment="1">
      <alignment horizontal="right" vertical="center" wrapText="1"/>
    </xf>
    <xf numFmtId="37" fontId="30" fillId="0" borderId="5" xfId="0" applyNumberFormat="1" applyFont="1" applyBorder="1" applyAlignment="1">
      <alignment vertical="center"/>
    </xf>
    <xf numFmtId="37" fontId="28" fillId="5" borderId="6" xfId="0" applyNumberFormat="1" applyFont="1" applyFill="1" applyBorder="1" applyAlignment="1">
      <alignment vertical="center" wrapText="1"/>
    </xf>
    <xf numFmtId="39" fontId="14" fillId="5" borderId="6" xfId="0" applyNumberFormat="1" applyFont="1" applyFill="1" applyBorder="1" applyAlignment="1">
      <alignment vertical="center" wrapText="1"/>
    </xf>
    <xf numFmtId="39" fontId="14" fillId="0" borderId="6" xfId="0" applyNumberFormat="1" applyFont="1" applyBorder="1" applyAlignment="1">
      <alignment vertical="center" wrapText="1"/>
    </xf>
    <xf numFmtId="37" fontId="30" fillId="0" borderId="0" xfId="0" applyNumberFormat="1" applyFont="1" applyAlignment="1">
      <alignment vertical="center"/>
    </xf>
    <xf numFmtId="37" fontId="31" fillId="0" borderId="0" xfId="0" applyNumberFormat="1" applyFont="1" applyAlignment="1">
      <alignment vertical="center"/>
    </xf>
    <xf numFmtId="37" fontId="30" fillId="0" borderId="11" xfId="0" applyNumberFormat="1" applyFont="1" applyBorder="1" applyAlignment="1">
      <alignment vertical="center"/>
    </xf>
    <xf numFmtId="37" fontId="31" fillId="0" borderId="12" xfId="0" applyNumberFormat="1" applyFont="1" applyBorder="1" applyAlignment="1">
      <alignment vertical="center"/>
    </xf>
    <xf numFmtId="37" fontId="8" fillId="5" borderId="6" xfId="0" applyNumberFormat="1" applyFont="1" applyFill="1" applyBorder="1" applyAlignment="1">
      <alignment vertical="center" wrapText="1"/>
    </xf>
    <xf numFmtId="37" fontId="14" fillId="0" borderId="5" xfId="0" applyNumberFormat="1" applyFont="1" applyBorder="1" applyAlignment="1">
      <alignment vertical="center" wrapText="1"/>
    </xf>
    <xf numFmtId="165" fontId="16" fillId="0" borderId="0" xfId="1" applyNumberFormat="1" applyFont="1" applyAlignment="1">
      <alignment vertical="center"/>
    </xf>
    <xf numFmtId="37" fontId="14" fillId="0" borderId="7" xfId="0" applyNumberFormat="1" applyFont="1" applyBorder="1" applyAlignment="1">
      <alignment vertical="center" wrapText="1"/>
    </xf>
    <xf numFmtId="37" fontId="14" fillId="0" borderId="7" xfId="0" applyNumberFormat="1" applyFont="1" applyBorder="1" applyAlignment="1">
      <alignment vertical="center"/>
    </xf>
    <xf numFmtId="37" fontId="14" fillId="5" borderId="7" xfId="0" applyNumberFormat="1" applyFont="1" applyFill="1" applyBorder="1" applyAlignment="1">
      <alignment vertical="center"/>
    </xf>
    <xf numFmtId="3" fontId="8" fillId="5" borderId="11" xfId="0" applyNumberFormat="1" applyFont="1" applyFill="1" applyBorder="1" applyAlignment="1">
      <alignment vertical="center" wrapText="1"/>
    </xf>
    <xf numFmtId="3" fontId="8" fillId="5" borderId="12" xfId="0" applyNumberFormat="1" applyFont="1" applyFill="1" applyBorder="1" applyAlignment="1">
      <alignment vertical="center" wrapText="1"/>
    </xf>
    <xf numFmtId="39" fontId="14" fillId="5" borderId="7" xfId="0" applyNumberFormat="1" applyFont="1" applyFill="1" applyBorder="1" applyAlignment="1">
      <alignment vertical="center"/>
    </xf>
    <xf numFmtId="0" fontId="32" fillId="9" borderId="11" xfId="0" applyFont="1" applyFill="1" applyBorder="1" applyAlignment="1">
      <alignment horizontal="center" vertical="center" wrapText="1"/>
    </xf>
    <xf numFmtId="37" fontId="14" fillId="5" borderId="5" xfId="0" applyNumberFormat="1" applyFont="1" applyFill="1" applyBorder="1" applyAlignment="1">
      <alignment horizontal="right" vertical="center" wrapText="1"/>
    </xf>
    <xf numFmtId="3" fontId="8" fillId="8" borderId="11" xfId="0" applyNumberFormat="1" applyFont="1" applyFill="1" applyBorder="1" applyAlignment="1">
      <alignment vertical="center" wrapText="1"/>
    </xf>
    <xf numFmtId="3" fontId="8" fillId="8" borderId="12" xfId="0" applyNumberFormat="1" applyFont="1" applyFill="1" applyBorder="1" applyAlignment="1">
      <alignment vertical="center" wrapText="1"/>
    </xf>
    <xf numFmtId="3" fontId="14" fillId="5" borderId="11" xfId="0" applyNumberFormat="1" applyFont="1" applyFill="1" applyBorder="1" applyAlignment="1">
      <alignment vertical="center" wrapText="1"/>
    </xf>
    <xf numFmtId="3" fontId="14" fillId="0" borderId="11" xfId="0" applyNumberFormat="1" applyFont="1" applyBorder="1" applyAlignment="1">
      <alignment vertical="center" wrapText="1"/>
    </xf>
    <xf numFmtId="3" fontId="14" fillId="5" borderId="12" xfId="0" applyNumberFormat="1" applyFont="1" applyFill="1" applyBorder="1" applyAlignment="1">
      <alignment vertical="center" wrapText="1"/>
    </xf>
    <xf numFmtId="49" fontId="22" fillId="5" borderId="26" xfId="0" applyNumberFormat="1" applyFont="1" applyFill="1" applyBorder="1" applyAlignment="1">
      <alignment horizontal="center" vertical="center" wrapText="1"/>
    </xf>
    <xf numFmtId="49" fontId="22" fillId="5" borderId="27" xfId="0" applyNumberFormat="1" applyFont="1" applyFill="1" applyBorder="1" applyAlignment="1">
      <alignment horizontal="center" vertical="center" wrapText="1"/>
    </xf>
    <xf numFmtId="0" fontId="22" fillId="5" borderId="27" xfId="0" applyFont="1" applyFill="1" applyBorder="1" applyAlignment="1">
      <alignment vertical="center" wrapText="1"/>
    </xf>
    <xf numFmtId="3" fontId="8" fillId="5" borderId="27" xfId="0" applyNumberFormat="1" applyFont="1" applyFill="1" applyBorder="1" applyAlignment="1">
      <alignment vertical="center" wrapText="1"/>
    </xf>
    <xf numFmtId="3" fontId="8" fillId="5" borderId="28" xfId="0" applyNumberFormat="1" applyFont="1" applyFill="1" applyBorder="1" applyAlignment="1">
      <alignment vertical="center" wrapText="1"/>
    </xf>
    <xf numFmtId="3" fontId="10" fillId="2" borderId="11" xfId="0" applyNumberFormat="1" applyFont="1" applyFill="1" applyBorder="1" applyAlignment="1">
      <alignment vertical="center" wrapText="1"/>
    </xf>
    <xf numFmtId="3" fontId="10" fillId="2" borderId="19" xfId="0" applyNumberFormat="1" applyFont="1" applyFill="1" applyBorder="1" applyAlignment="1">
      <alignment vertical="center" wrapText="1"/>
    </xf>
    <xf numFmtId="3" fontId="8" fillId="8" borderId="30" xfId="0" applyNumberFormat="1" applyFont="1" applyFill="1" applyBorder="1" applyAlignment="1">
      <alignment vertical="center" wrapText="1"/>
    </xf>
    <xf numFmtId="0" fontId="14" fillId="0" borderId="2" xfId="0" applyFont="1" applyBorder="1" applyAlignment="1">
      <alignment vertical="center" wrapText="1"/>
    </xf>
    <xf numFmtId="3" fontId="14" fillId="0" borderId="10" xfId="0" applyNumberFormat="1" applyFont="1" applyBorder="1" applyAlignment="1">
      <alignment vertical="center" wrapText="1"/>
    </xf>
    <xf numFmtId="0" fontId="14" fillId="0" borderId="5" xfId="0" applyFont="1" applyBorder="1" applyAlignment="1">
      <alignment vertical="center" wrapText="1"/>
    </xf>
    <xf numFmtId="3" fontId="11" fillId="7" borderId="31" xfId="0" applyNumberFormat="1" applyFont="1" applyFill="1" applyBorder="1" applyAlignment="1">
      <alignment vertical="center" wrapText="1"/>
    </xf>
    <xf numFmtId="165" fontId="11" fillId="7" borderId="21" xfId="0" applyNumberFormat="1" applyFont="1" applyFill="1" applyBorder="1" applyAlignment="1">
      <alignment vertical="center" wrapText="1"/>
    </xf>
    <xf numFmtId="37" fontId="8" fillId="5" borderId="7" xfId="0" applyNumberFormat="1" applyFont="1" applyFill="1" applyBorder="1" applyAlignment="1">
      <alignment vertical="center" wrapText="1"/>
    </xf>
    <xf numFmtId="3" fontId="14" fillId="0" borderId="19" xfId="0" applyNumberFormat="1" applyFont="1" applyBorder="1" applyAlignment="1">
      <alignment vertical="center" wrapText="1"/>
    </xf>
    <xf numFmtId="3" fontId="14" fillId="0" borderId="21" xfId="0" applyNumberFormat="1" applyFont="1" applyBorder="1" applyAlignment="1">
      <alignment vertical="center" wrapText="1"/>
    </xf>
    <xf numFmtId="49" fontId="14" fillId="5" borderId="11" xfId="0" applyNumberFormat="1" applyFont="1" applyFill="1" applyBorder="1" applyAlignment="1">
      <alignment horizontal="center" vertical="center"/>
    </xf>
    <xf numFmtId="0" fontId="21" fillId="0" borderId="0" xfId="0" applyFont="1"/>
    <xf numFmtId="0" fontId="21" fillId="0" borderId="0" xfId="0" applyFont="1" applyAlignment="1">
      <alignment vertical="center"/>
    </xf>
    <xf numFmtId="0" fontId="21" fillId="0" borderId="0" xfId="0" applyFont="1" applyAlignment="1">
      <alignment horizontal="center" vertical="center"/>
    </xf>
    <xf numFmtId="165" fontId="32" fillId="9" borderId="11" xfId="0" applyNumberFormat="1" applyFont="1" applyFill="1" applyBorder="1" applyAlignment="1">
      <alignment vertical="center"/>
    </xf>
    <xf numFmtId="165" fontId="11" fillId="10" borderId="11" xfId="0" applyNumberFormat="1" applyFont="1" applyFill="1" applyBorder="1" applyAlignment="1">
      <alignment vertical="center"/>
    </xf>
    <xf numFmtId="165" fontId="13" fillId="5" borderId="11" xfId="0" applyNumberFormat="1" applyFont="1" applyFill="1" applyBorder="1" applyAlignment="1">
      <alignment vertical="center"/>
    </xf>
    <xf numFmtId="0" fontId="33" fillId="0" borderId="0" xfId="0" applyFont="1"/>
    <xf numFmtId="165" fontId="13" fillId="5" borderId="11" xfId="1" applyNumberFormat="1" applyFont="1" applyFill="1" applyBorder="1" applyAlignment="1">
      <alignment vertical="center"/>
    </xf>
    <xf numFmtId="0" fontId="14" fillId="5" borderId="11" xfId="0" applyFont="1" applyFill="1" applyBorder="1" applyAlignment="1">
      <alignment horizontal="center" vertical="center"/>
    </xf>
    <xf numFmtId="0" fontId="21" fillId="0" borderId="0" xfId="0" applyFont="1" applyAlignment="1">
      <alignment horizontal="center"/>
    </xf>
    <xf numFmtId="0" fontId="14" fillId="0" borderId="0" xfId="0" applyFont="1" applyAlignment="1">
      <alignment vertical="center"/>
    </xf>
    <xf numFmtId="165" fontId="13" fillId="0" borderId="12" xfId="0" applyNumberFormat="1" applyFont="1" applyBorder="1" applyAlignment="1">
      <alignment vertical="center"/>
    </xf>
    <xf numFmtId="165" fontId="34" fillId="10" borderId="11" xfId="0" applyNumberFormat="1" applyFont="1" applyFill="1" applyBorder="1" applyAlignment="1">
      <alignment vertical="center"/>
    </xf>
    <xf numFmtId="165" fontId="35" fillId="5" borderId="11" xfId="0" applyNumberFormat="1" applyFont="1" applyFill="1" applyBorder="1" applyAlignment="1">
      <alignment vertical="center"/>
    </xf>
    <xf numFmtId="165" fontId="35" fillId="0" borderId="11" xfId="1" applyNumberFormat="1" applyFont="1" applyBorder="1" applyAlignment="1">
      <alignment vertical="center"/>
    </xf>
    <xf numFmtId="165" fontId="34" fillId="10" borderId="11" xfId="1" applyNumberFormat="1" applyFont="1" applyFill="1" applyBorder="1" applyAlignment="1">
      <alignment vertical="center"/>
    </xf>
    <xf numFmtId="165" fontId="35" fillId="5" borderId="34" xfId="0" applyNumberFormat="1" applyFont="1" applyFill="1" applyBorder="1" applyAlignment="1">
      <alignment vertical="center"/>
    </xf>
    <xf numFmtId="165" fontId="35" fillId="12" borderId="11" xfId="1" applyNumberFormat="1" applyFont="1" applyFill="1" applyBorder="1" applyAlignment="1">
      <alignment vertical="center"/>
    </xf>
    <xf numFmtId="41" fontId="34" fillId="9" borderId="11" xfId="2" applyFont="1" applyFill="1" applyBorder="1" applyAlignment="1">
      <alignment horizontal="left" vertical="center"/>
    </xf>
    <xf numFmtId="165" fontId="36" fillId="5" borderId="0" xfId="1" applyNumberFormat="1" applyFont="1" applyFill="1" applyBorder="1" applyAlignment="1">
      <alignment vertical="center"/>
    </xf>
    <xf numFmtId="165" fontId="13" fillId="5" borderId="29" xfId="1" applyNumberFormat="1" applyFont="1" applyFill="1" applyBorder="1" applyAlignment="1">
      <alignment vertical="center"/>
    </xf>
    <xf numFmtId="165" fontId="11" fillId="11" borderId="11" xfId="0" applyNumberFormat="1" applyFont="1" applyFill="1" applyBorder="1" applyAlignment="1">
      <alignment vertical="center"/>
    </xf>
    <xf numFmtId="165" fontId="11" fillId="10" borderId="11" xfId="1" applyNumberFormat="1" applyFont="1" applyFill="1" applyBorder="1" applyAlignment="1">
      <alignment vertical="center"/>
    </xf>
    <xf numFmtId="165" fontId="13" fillId="5" borderId="11" xfId="1" applyNumberFormat="1" applyFont="1" applyFill="1" applyBorder="1" applyAlignment="1">
      <alignment horizontal="left" vertical="center"/>
    </xf>
    <xf numFmtId="165" fontId="11" fillId="10" borderId="11" xfId="1" applyNumberFormat="1" applyFont="1" applyFill="1" applyBorder="1" applyAlignment="1">
      <alignment horizontal="left" vertical="center"/>
    </xf>
    <xf numFmtId="37" fontId="14" fillId="5" borderId="11" xfId="0" applyNumberFormat="1" applyFont="1" applyFill="1" applyBorder="1" applyAlignment="1">
      <alignment vertical="center"/>
    </xf>
    <xf numFmtId="0" fontId="33" fillId="5" borderId="0" xfId="0" applyFont="1" applyFill="1"/>
    <xf numFmtId="39" fontId="5" fillId="5" borderId="0" xfId="0" applyNumberFormat="1" applyFont="1" applyFill="1" applyAlignment="1">
      <alignment vertical="center"/>
    </xf>
    <xf numFmtId="43" fontId="13" fillId="10" borderId="11" xfId="0" applyNumberFormat="1" applyFont="1" applyFill="1" applyBorder="1" applyAlignment="1">
      <alignment vertical="center"/>
    </xf>
    <xf numFmtId="165" fontId="13" fillId="10" borderId="11" xfId="0" applyNumberFormat="1" applyFont="1" applyFill="1" applyBorder="1" applyAlignment="1">
      <alignment vertical="center"/>
    </xf>
    <xf numFmtId="37" fontId="8" fillId="5" borderId="4" xfId="0" applyNumberFormat="1" applyFont="1" applyFill="1" applyBorder="1" applyAlignment="1">
      <alignment vertical="center"/>
    </xf>
    <xf numFmtId="37" fontId="8" fillId="5" borderId="7" xfId="0" applyNumberFormat="1" applyFont="1" applyFill="1" applyBorder="1" applyAlignment="1">
      <alignment vertical="center"/>
    </xf>
    <xf numFmtId="37" fontId="25" fillId="5" borderId="7" xfId="0" applyNumberFormat="1" applyFont="1" applyFill="1" applyBorder="1" applyAlignment="1">
      <alignment vertical="center" wrapText="1"/>
    </xf>
    <xf numFmtId="37" fontId="25" fillId="5" borderId="7" xfId="0" applyNumberFormat="1" applyFont="1" applyFill="1" applyBorder="1" applyAlignment="1">
      <alignment horizontal="justify" vertical="center" wrapText="1"/>
    </xf>
    <xf numFmtId="37" fontId="27" fillId="5" borderId="0" xfId="0" applyNumberFormat="1" applyFont="1" applyFill="1" applyAlignment="1">
      <alignment vertical="center"/>
    </xf>
    <xf numFmtId="37" fontId="14" fillId="5" borderId="12" xfId="0" applyNumberFormat="1" applyFont="1" applyFill="1" applyBorder="1" applyAlignment="1">
      <alignment vertical="center"/>
    </xf>
    <xf numFmtId="39" fontId="14" fillId="5" borderId="7" xfId="0" applyNumberFormat="1" applyFont="1" applyFill="1" applyBorder="1" applyAlignment="1">
      <alignment vertical="center" wrapText="1"/>
    </xf>
    <xf numFmtId="165" fontId="32" fillId="9" borderId="11" xfId="1" applyNumberFormat="1" applyFont="1" applyFill="1" applyBorder="1" applyAlignment="1">
      <alignment vertical="center" wrapText="1"/>
    </xf>
    <xf numFmtId="37" fontId="25" fillId="0" borderId="5" xfId="0" applyNumberFormat="1" applyFont="1" applyBorder="1" applyAlignment="1">
      <alignment horizontal="right" vertical="center" wrapText="1"/>
    </xf>
    <xf numFmtId="4" fontId="9" fillId="4" borderId="37" xfId="0" applyNumberFormat="1" applyFont="1" applyFill="1" applyBorder="1" applyAlignment="1">
      <alignment horizontal="center" vertical="center"/>
    </xf>
    <xf numFmtId="4" fontId="9" fillId="4" borderId="44" xfId="0" applyNumberFormat="1" applyFont="1" applyFill="1" applyBorder="1" applyAlignment="1">
      <alignment horizontal="center" vertical="center"/>
    </xf>
    <xf numFmtId="4" fontId="9" fillId="4" borderId="39" xfId="0" applyNumberFormat="1" applyFont="1" applyFill="1" applyBorder="1" applyAlignment="1">
      <alignment horizontal="center" vertical="center"/>
    </xf>
    <xf numFmtId="3" fontId="9" fillId="4" borderId="39" xfId="0" applyNumberFormat="1" applyFont="1" applyFill="1" applyBorder="1" applyAlignment="1">
      <alignment horizontal="center" vertical="center"/>
    </xf>
    <xf numFmtId="37" fontId="4" fillId="0" borderId="45" xfId="0" applyNumberFormat="1" applyFont="1" applyBorder="1" applyAlignment="1">
      <alignment vertical="center"/>
    </xf>
    <xf numFmtId="37" fontId="4" fillId="0" borderId="46" xfId="0" applyNumberFormat="1" applyFont="1" applyBorder="1" applyAlignment="1">
      <alignment vertical="center"/>
    </xf>
    <xf numFmtId="37" fontId="4" fillId="0" borderId="46" xfId="0" applyNumberFormat="1" applyFont="1" applyBorder="1" applyAlignment="1">
      <alignment horizontal="justify" vertical="center" wrapText="1"/>
    </xf>
    <xf numFmtId="37" fontId="5" fillId="0" borderId="46" xfId="0" applyNumberFormat="1" applyFont="1" applyBorder="1" applyAlignment="1">
      <alignment horizontal="justify" vertical="center" wrapText="1"/>
    </xf>
    <xf numFmtId="37" fontId="5" fillId="5" borderId="46" xfId="0" applyNumberFormat="1" applyFont="1" applyFill="1" applyBorder="1" applyAlignment="1">
      <alignment horizontal="justify" vertical="center" wrapText="1"/>
    </xf>
    <xf numFmtId="37" fontId="4" fillId="5" borderId="46" xfId="0" applyNumberFormat="1" applyFont="1" applyFill="1" applyBorder="1" applyAlignment="1">
      <alignment horizontal="justify" vertical="center" wrapText="1"/>
    </xf>
    <xf numFmtId="37" fontId="4" fillId="3" borderId="46" xfId="0" applyNumberFormat="1" applyFont="1" applyFill="1" applyBorder="1" applyAlignment="1">
      <alignment horizontal="justify" vertical="center" wrapText="1"/>
    </xf>
    <xf numFmtId="37" fontId="4" fillId="5" borderId="45" xfId="0" applyNumberFormat="1" applyFont="1" applyFill="1" applyBorder="1" applyAlignment="1">
      <alignment horizontal="justify" vertical="center" wrapText="1"/>
    </xf>
    <xf numFmtId="37" fontId="14" fillId="0" borderId="46" xfId="0" applyNumberFormat="1" applyFont="1" applyBorder="1" applyAlignment="1">
      <alignment vertical="center"/>
    </xf>
    <xf numFmtId="165" fontId="11" fillId="10" borderId="29" xfId="1" applyNumberFormat="1" applyFont="1" applyFill="1" applyBorder="1" applyAlignment="1">
      <alignment vertical="center"/>
    </xf>
    <xf numFmtId="165" fontId="11" fillId="10" borderId="27" xfId="0" applyNumberFormat="1" applyFont="1" applyFill="1" applyBorder="1" applyAlignment="1">
      <alignment vertical="center"/>
    </xf>
    <xf numFmtId="4" fontId="9" fillId="16" borderId="23" xfId="0" applyNumberFormat="1" applyFont="1" applyFill="1" applyBorder="1" applyAlignment="1">
      <alignment horizontal="center" vertical="center"/>
    </xf>
    <xf numFmtId="4" fontId="9" fillId="16" borderId="24" xfId="0" applyNumberFormat="1" applyFont="1" applyFill="1" applyBorder="1" applyAlignment="1">
      <alignment horizontal="center" vertical="center"/>
    </xf>
    <xf numFmtId="3" fontId="9" fillId="16" borderId="24" xfId="0" applyNumberFormat="1" applyFont="1" applyFill="1" applyBorder="1" applyAlignment="1">
      <alignment horizontal="center" vertical="center"/>
    </xf>
    <xf numFmtId="4" fontId="9" fillId="16" borderId="25" xfId="0" applyNumberFormat="1" applyFont="1" applyFill="1" applyBorder="1" applyAlignment="1">
      <alignment horizontal="center" vertical="center"/>
    </xf>
    <xf numFmtId="3" fontId="9" fillId="16" borderId="25" xfId="0" applyNumberFormat="1" applyFont="1" applyFill="1" applyBorder="1" applyAlignment="1">
      <alignment horizontal="center" vertical="center"/>
    </xf>
    <xf numFmtId="37" fontId="9" fillId="16" borderId="25" xfId="0" applyNumberFormat="1" applyFont="1" applyFill="1" applyBorder="1" applyAlignment="1">
      <alignment horizontal="center" vertical="center"/>
    </xf>
    <xf numFmtId="37" fontId="4" fillId="0" borderId="25" xfId="0" applyNumberFormat="1" applyFont="1" applyBorder="1" applyAlignment="1">
      <alignment horizontal="justify" vertical="center" wrapText="1"/>
    </xf>
    <xf numFmtId="37" fontId="5" fillId="17" borderId="46" xfId="0" applyNumberFormat="1" applyFont="1" applyFill="1" applyBorder="1" applyAlignment="1">
      <alignment horizontal="justify" vertical="center" wrapText="1"/>
    </xf>
    <xf numFmtId="37" fontId="14" fillId="17" borderId="6" xfId="0" applyNumberFormat="1" applyFont="1" applyFill="1" applyBorder="1" applyAlignment="1">
      <alignment vertical="center"/>
    </xf>
    <xf numFmtId="165" fontId="11" fillId="5" borderId="0" xfId="0" applyNumberFormat="1" applyFont="1" applyFill="1" applyAlignment="1">
      <alignment vertical="center"/>
    </xf>
    <xf numFmtId="37" fontId="14" fillId="18" borderId="5" xfId="0" applyNumberFormat="1" applyFont="1" applyFill="1" applyBorder="1" applyAlignment="1">
      <alignment vertical="center"/>
    </xf>
    <xf numFmtId="3" fontId="14" fillId="5" borderId="30" xfId="0" applyNumberFormat="1" applyFont="1" applyFill="1" applyBorder="1" applyAlignment="1">
      <alignment vertical="center" wrapText="1"/>
    </xf>
    <xf numFmtId="0" fontId="0" fillId="0" borderId="0" xfId="0" applyAlignment="1">
      <alignment vertical="center" wrapText="1"/>
    </xf>
    <xf numFmtId="37" fontId="14" fillId="17" borderId="5" xfId="0" applyNumberFormat="1" applyFont="1" applyFill="1" applyBorder="1" applyAlignment="1">
      <alignment vertical="center"/>
    </xf>
    <xf numFmtId="37" fontId="14" fillId="0" borderId="33" xfId="0" applyNumberFormat="1" applyFont="1" applyBorder="1" applyAlignment="1">
      <alignment vertical="center"/>
    </xf>
    <xf numFmtId="37" fontId="14" fillId="0" borderId="11" xfId="0" applyNumberFormat="1" applyFont="1" applyBorder="1" applyAlignment="1">
      <alignment vertical="center"/>
    </xf>
    <xf numFmtId="37" fontId="25" fillId="0" borderId="11" xfId="0" applyNumberFormat="1" applyFont="1" applyBorder="1" applyAlignment="1">
      <alignment vertical="center" wrapText="1"/>
    </xf>
    <xf numFmtId="39" fontId="14" fillId="5" borderId="11" xfId="0" applyNumberFormat="1" applyFont="1" applyFill="1" applyBorder="1" applyAlignment="1">
      <alignment vertical="center" wrapText="1"/>
    </xf>
    <xf numFmtId="39" fontId="14" fillId="15" borderId="6" xfId="0" applyNumberFormat="1" applyFont="1" applyFill="1" applyBorder="1" applyAlignment="1">
      <alignment vertical="center"/>
    </xf>
    <xf numFmtId="37" fontId="14" fillId="15" borderId="6" xfId="0" applyNumberFormat="1" applyFont="1" applyFill="1" applyBorder="1" applyAlignment="1">
      <alignment vertical="center"/>
    </xf>
    <xf numFmtId="39" fontId="25" fillId="0" borderId="7" xfId="0" applyNumberFormat="1" applyFont="1" applyBorder="1" applyAlignment="1">
      <alignment vertical="center" wrapText="1"/>
    </xf>
    <xf numFmtId="39" fontId="27" fillId="5" borderId="7" xfId="0" applyNumberFormat="1" applyFont="1" applyFill="1" applyBorder="1" applyAlignment="1">
      <alignment horizontal="justify" vertical="center" wrapText="1"/>
    </xf>
    <xf numFmtId="39" fontId="14" fillId="0" borderId="7" xfId="0" applyNumberFormat="1" applyFont="1" applyBorder="1" applyAlignment="1">
      <alignment vertical="center"/>
    </xf>
    <xf numFmtId="39" fontId="14" fillId="0" borderId="7" xfId="0" applyNumberFormat="1" applyFont="1" applyBorder="1" applyAlignment="1">
      <alignment vertical="center" wrapText="1"/>
    </xf>
    <xf numFmtId="39" fontId="14" fillId="0" borderId="5" xfId="0" applyNumberFormat="1" applyFont="1" applyBorder="1" applyAlignment="1">
      <alignment vertical="center"/>
    </xf>
    <xf numFmtId="0" fontId="40" fillId="9" borderId="11" xfId="0" applyFont="1" applyFill="1" applyBorder="1" applyAlignment="1">
      <alignment vertical="center"/>
    </xf>
    <xf numFmtId="49" fontId="40" fillId="9" borderId="11" xfId="0" applyNumberFormat="1" applyFont="1" applyFill="1" applyBorder="1" applyAlignment="1">
      <alignment horizontal="center" vertical="center"/>
    </xf>
    <xf numFmtId="0" fontId="40" fillId="9" borderId="11" xfId="0" applyFont="1" applyFill="1" applyBorder="1" applyAlignment="1">
      <alignment vertical="center" wrapText="1"/>
    </xf>
    <xf numFmtId="43" fontId="40" fillId="9" borderId="11" xfId="1" applyFont="1" applyFill="1" applyBorder="1" applyAlignment="1">
      <alignment vertical="center"/>
    </xf>
    <xf numFmtId="0" fontId="15" fillId="10" borderId="11" xfId="0" applyFont="1" applyFill="1" applyBorder="1" applyAlignment="1">
      <alignment vertical="center"/>
    </xf>
    <xf numFmtId="49" fontId="15" fillId="10" borderId="11" xfId="0" applyNumberFormat="1" applyFont="1" applyFill="1" applyBorder="1" applyAlignment="1">
      <alignment horizontal="center" vertical="center"/>
    </xf>
    <xf numFmtId="0" fontId="15" fillId="10" borderId="11" xfId="0" applyFont="1" applyFill="1" applyBorder="1" applyAlignment="1">
      <alignment vertical="center" wrapText="1"/>
    </xf>
    <xf numFmtId="43" fontId="15" fillId="10" borderId="11" xfId="1" applyFont="1" applyFill="1" applyBorder="1" applyAlignment="1">
      <alignment vertical="center"/>
    </xf>
    <xf numFmtId="0" fontId="40" fillId="10" borderId="11" xfId="0" applyFont="1" applyFill="1" applyBorder="1" applyAlignment="1">
      <alignment vertical="center"/>
    </xf>
    <xf numFmtId="49" fontId="40" fillId="10" borderId="11" xfId="0" applyNumberFormat="1" applyFont="1" applyFill="1" applyBorder="1" applyAlignment="1">
      <alignment horizontal="center" vertical="center"/>
    </xf>
    <xf numFmtId="0" fontId="40" fillId="10" borderId="11" xfId="0" applyFont="1" applyFill="1" applyBorder="1" applyAlignment="1">
      <alignment vertical="center" wrapText="1"/>
    </xf>
    <xf numFmtId="0" fontId="40" fillId="12" borderId="11" xfId="0" applyFont="1" applyFill="1" applyBorder="1" applyAlignment="1">
      <alignment vertical="center"/>
    </xf>
    <xf numFmtId="49" fontId="40" fillId="12" borderId="11" xfId="0" applyNumberFormat="1" applyFont="1" applyFill="1" applyBorder="1" applyAlignment="1">
      <alignment horizontal="center" vertical="center"/>
    </xf>
    <xf numFmtId="0" fontId="40" fillId="12" borderId="11" xfId="0" applyFont="1" applyFill="1" applyBorder="1" applyAlignment="1">
      <alignment vertical="center" wrapText="1"/>
    </xf>
    <xf numFmtId="43" fontId="40" fillId="12" borderId="11" xfId="1" applyFont="1" applyFill="1" applyBorder="1" applyAlignment="1">
      <alignment vertical="center"/>
    </xf>
    <xf numFmtId="165" fontId="40" fillId="9" borderId="11" xfId="1" applyNumberFormat="1" applyFont="1" applyFill="1" applyBorder="1" applyAlignment="1">
      <alignment vertical="center"/>
    </xf>
    <xf numFmtId="165" fontId="15" fillId="10" borderId="11" xfId="1" applyNumberFormat="1" applyFont="1" applyFill="1" applyBorder="1" applyAlignment="1">
      <alignment vertical="center"/>
    </xf>
    <xf numFmtId="0" fontId="1" fillId="5" borderId="11" xfId="0" applyFont="1" applyFill="1" applyBorder="1" applyAlignment="1">
      <alignment vertical="center"/>
    </xf>
    <xf numFmtId="49" fontId="1" fillId="5" borderId="11" xfId="0" applyNumberFormat="1" applyFont="1" applyFill="1" applyBorder="1" applyAlignment="1">
      <alignment horizontal="center" vertical="center"/>
    </xf>
    <xf numFmtId="0" fontId="15" fillId="5" borderId="11" xfId="0" applyFont="1" applyFill="1" applyBorder="1" applyAlignment="1">
      <alignment vertical="center" wrapText="1"/>
    </xf>
    <xf numFmtId="0" fontId="1" fillId="5" borderId="11" xfId="0" applyFont="1" applyFill="1" applyBorder="1" applyAlignment="1">
      <alignment vertical="center" wrapText="1"/>
    </xf>
    <xf numFmtId="165" fontId="40" fillId="10" borderId="11" xfId="1" applyNumberFormat="1" applyFont="1" applyFill="1" applyBorder="1" applyAlignment="1">
      <alignment vertical="center"/>
    </xf>
    <xf numFmtId="165" fontId="1" fillId="5" borderId="11" xfId="1" applyNumberFormat="1" applyFont="1" applyFill="1" applyBorder="1" applyAlignment="1">
      <alignment vertical="center"/>
    </xf>
    <xf numFmtId="0" fontId="15" fillId="5" borderId="11" xfId="0" applyFont="1" applyFill="1" applyBorder="1" applyAlignment="1">
      <alignment vertical="center"/>
    </xf>
    <xf numFmtId="49" fontId="15" fillId="5" borderId="11" xfId="0" applyNumberFormat="1" applyFont="1" applyFill="1" applyBorder="1" applyAlignment="1">
      <alignment horizontal="center" vertical="center"/>
    </xf>
    <xf numFmtId="165" fontId="15" fillId="5" borderId="11" xfId="1" applyNumberFormat="1" applyFont="1" applyFill="1" applyBorder="1" applyAlignment="1">
      <alignment vertical="center"/>
    </xf>
    <xf numFmtId="165" fontId="41" fillId="13" borderId="11" xfId="1" applyNumberFormat="1" applyFont="1" applyFill="1" applyBorder="1" applyAlignment="1">
      <alignment vertical="center"/>
    </xf>
    <xf numFmtId="43" fontId="21" fillId="0" borderId="0" xfId="0" applyNumberFormat="1" applyFont="1" applyAlignment="1">
      <alignment vertical="center"/>
    </xf>
    <xf numFmtId="165" fontId="38" fillId="0" borderId="0" xfId="0" applyNumberFormat="1" applyFont="1"/>
    <xf numFmtId="165" fontId="43" fillId="5" borderId="0" xfId="1" applyNumberFormat="1" applyFont="1" applyFill="1" applyBorder="1" applyAlignment="1">
      <alignment vertical="center"/>
    </xf>
    <xf numFmtId="165" fontId="9" fillId="7" borderId="10" xfId="0" applyNumberFormat="1" applyFont="1" applyFill="1" applyBorder="1" applyAlignment="1">
      <alignment horizontal="center" vertical="center" wrapText="1"/>
    </xf>
    <xf numFmtId="165" fontId="32" fillId="13" borderId="11" xfId="0" applyNumberFormat="1" applyFont="1" applyFill="1" applyBorder="1" applyAlignment="1">
      <alignment vertical="center"/>
    </xf>
    <xf numFmtId="41" fontId="21" fillId="0" borderId="0" xfId="2" applyFont="1" applyAlignment="1">
      <alignment vertical="center" wrapText="1"/>
    </xf>
    <xf numFmtId="37" fontId="14" fillId="5" borderId="7" xfId="0" applyNumberFormat="1" applyFont="1" applyFill="1" applyBorder="1" applyAlignment="1">
      <alignment vertical="center" wrapText="1"/>
    </xf>
    <xf numFmtId="6" fontId="21" fillId="0" borderId="0" xfId="0" applyNumberFormat="1" applyFont="1" applyAlignment="1">
      <alignment vertical="center" wrapText="1"/>
    </xf>
    <xf numFmtId="0" fontId="45" fillId="5" borderId="0" xfId="0" applyFont="1" applyFill="1" applyAlignment="1">
      <alignment horizontal="center"/>
    </xf>
    <xf numFmtId="0" fontId="40" fillId="9" borderId="11" xfId="0" applyFont="1" applyFill="1" applyBorder="1" applyAlignment="1">
      <alignment horizontal="center" vertical="center"/>
    </xf>
    <xf numFmtId="0" fontId="40" fillId="9" borderId="11" xfId="0" applyFont="1" applyFill="1" applyBorder="1" applyAlignment="1">
      <alignment horizontal="center" vertical="center" wrapText="1"/>
    </xf>
    <xf numFmtId="43" fontId="40" fillId="9" borderId="11" xfId="1" applyFont="1" applyFill="1" applyBorder="1" applyAlignment="1">
      <alignment horizontal="center" vertical="center"/>
    </xf>
    <xf numFmtId="0" fontId="40" fillId="5" borderId="0" xfId="0" applyFont="1" applyFill="1" applyAlignment="1">
      <alignment horizontal="center" vertical="center"/>
    </xf>
    <xf numFmtId="165" fontId="40" fillId="5" borderId="0" xfId="0" applyNumberFormat="1" applyFont="1" applyFill="1" applyAlignment="1">
      <alignment vertical="center"/>
    </xf>
    <xf numFmtId="165" fontId="15" fillId="5" borderId="0" xfId="0" applyNumberFormat="1" applyFont="1" applyFill="1" applyAlignment="1">
      <alignment vertical="center"/>
    </xf>
    <xf numFmtId="49" fontId="47" fillId="0" borderId="11" xfId="0" applyNumberFormat="1" applyFont="1" applyBorder="1" applyAlignment="1">
      <alignment horizontal="center" vertical="center"/>
    </xf>
    <xf numFmtId="0" fontId="47" fillId="5" borderId="11" xfId="0" applyFont="1" applyFill="1" applyBorder="1" applyAlignment="1">
      <alignment vertical="center" wrapText="1"/>
    </xf>
    <xf numFmtId="43" fontId="47" fillId="0" borderId="11" xfId="1" applyFont="1" applyBorder="1" applyAlignment="1">
      <alignment vertical="center"/>
    </xf>
    <xf numFmtId="165" fontId="47" fillId="5" borderId="0" xfId="1" applyNumberFormat="1" applyFont="1" applyFill="1" applyBorder="1" applyAlignment="1">
      <alignment vertical="center"/>
    </xf>
    <xf numFmtId="0" fontId="48" fillId="0" borderId="0" xfId="0" applyFont="1"/>
    <xf numFmtId="43" fontId="49" fillId="0" borderId="11" xfId="1" applyFont="1" applyBorder="1" applyAlignment="1">
      <alignment vertical="center"/>
    </xf>
    <xf numFmtId="43" fontId="49" fillId="0" borderId="11" xfId="1" applyFont="1" applyFill="1" applyBorder="1" applyAlignment="1">
      <alignment vertical="center"/>
    </xf>
    <xf numFmtId="43" fontId="49" fillId="5" borderId="11" xfId="1" applyFont="1" applyFill="1" applyBorder="1" applyAlignment="1">
      <alignment vertical="center"/>
    </xf>
    <xf numFmtId="49" fontId="50" fillId="5" borderId="11" xfId="0" applyNumberFormat="1" applyFont="1" applyFill="1" applyBorder="1" applyAlignment="1">
      <alignment horizontal="center" vertical="center"/>
    </xf>
    <xf numFmtId="165" fontId="50" fillId="5" borderId="11" xfId="1" applyNumberFormat="1" applyFont="1" applyFill="1" applyBorder="1" applyAlignment="1">
      <alignment vertical="center"/>
    </xf>
    <xf numFmtId="0" fontId="15" fillId="16" borderId="11" xfId="0" applyFont="1" applyFill="1" applyBorder="1" applyAlignment="1">
      <alignment vertical="center"/>
    </xf>
    <xf numFmtId="49" fontId="15" fillId="16" borderId="11" xfId="0" applyNumberFormat="1" applyFont="1" applyFill="1" applyBorder="1" applyAlignment="1">
      <alignment horizontal="center" vertical="center"/>
    </xf>
    <xf numFmtId="0" fontId="15" fillId="16" borderId="11" xfId="0" applyFont="1" applyFill="1" applyBorder="1" applyAlignment="1">
      <alignment vertical="center" wrapText="1"/>
    </xf>
    <xf numFmtId="43" fontId="15" fillId="16" borderId="11" xfId="1" applyFont="1" applyFill="1" applyBorder="1" applyAlignment="1">
      <alignment vertical="center"/>
    </xf>
    <xf numFmtId="0" fontId="37" fillId="0" borderId="0" xfId="0" applyFont="1"/>
    <xf numFmtId="49" fontId="50" fillId="0" borderId="11" xfId="0" applyNumberFormat="1" applyFont="1" applyBorder="1" applyAlignment="1">
      <alignment horizontal="center" vertical="center"/>
    </xf>
    <xf numFmtId="165" fontId="50" fillId="5" borderId="0" xfId="1" applyNumberFormat="1" applyFont="1" applyFill="1" applyBorder="1" applyAlignment="1">
      <alignment vertical="center"/>
    </xf>
    <xf numFmtId="165" fontId="50" fillId="0" borderId="0" xfId="1" applyNumberFormat="1" applyFont="1" applyBorder="1" applyAlignment="1">
      <alignment vertical="center"/>
    </xf>
    <xf numFmtId="165" fontId="50" fillId="5" borderId="0" xfId="1" applyNumberFormat="1" applyFont="1" applyFill="1" applyBorder="1"/>
    <xf numFmtId="49" fontId="51" fillId="16" borderId="11" xfId="0" applyNumberFormat="1" applyFont="1" applyFill="1" applyBorder="1" applyAlignment="1">
      <alignment horizontal="center" vertical="center"/>
    </xf>
    <xf numFmtId="0" fontId="51" fillId="16" borderId="11" xfId="0" applyFont="1" applyFill="1" applyBorder="1" applyAlignment="1">
      <alignment vertical="center" wrapText="1"/>
    </xf>
    <xf numFmtId="43" fontId="52" fillId="16" borderId="11" xfId="1" applyFont="1" applyFill="1" applyBorder="1"/>
    <xf numFmtId="165" fontId="52" fillId="5" borderId="0" xfId="1" applyNumberFormat="1" applyFont="1" applyFill="1" applyBorder="1"/>
    <xf numFmtId="0" fontId="53" fillId="0" borderId="0" xfId="0" applyFont="1"/>
    <xf numFmtId="0" fontId="48" fillId="0" borderId="0" xfId="0" applyFont="1" applyAlignment="1">
      <alignment vertical="center"/>
    </xf>
    <xf numFmtId="43" fontId="52" fillId="16" borderId="11" xfId="1" applyFont="1" applyFill="1" applyBorder="1" applyAlignment="1">
      <alignment vertical="center"/>
    </xf>
    <xf numFmtId="165" fontId="52" fillId="5" borderId="0" xfId="1" applyNumberFormat="1" applyFont="1" applyFill="1" applyBorder="1" applyAlignment="1">
      <alignment vertical="center"/>
    </xf>
    <xf numFmtId="0" fontId="53" fillId="0" borderId="0" xfId="0" applyFont="1" applyAlignment="1">
      <alignment vertical="center"/>
    </xf>
    <xf numFmtId="43" fontId="47" fillId="5" borderId="11" xfId="1" applyFont="1" applyFill="1" applyBorder="1" applyAlignment="1">
      <alignment horizontal="left" vertical="center"/>
    </xf>
    <xf numFmtId="165" fontId="50" fillId="5" borderId="0" xfId="1" applyNumberFormat="1" applyFont="1" applyFill="1" applyBorder="1" applyAlignment="1">
      <alignment horizontal="left"/>
    </xf>
    <xf numFmtId="43" fontId="50" fillId="0" borderId="11" xfId="1" applyFont="1" applyBorder="1" applyAlignment="1">
      <alignment vertical="center"/>
    </xf>
    <xf numFmtId="43" fontId="52" fillId="16" borderId="11" xfId="1" applyFont="1" applyFill="1" applyBorder="1" applyAlignment="1">
      <alignment horizontal="left" vertical="center"/>
    </xf>
    <xf numFmtId="165" fontId="52" fillId="5" borderId="0" xfId="1" applyNumberFormat="1" applyFont="1" applyFill="1" applyBorder="1" applyAlignment="1">
      <alignment horizontal="left"/>
    </xf>
    <xf numFmtId="49" fontId="49" fillId="12" borderId="11" xfId="0" applyNumberFormat="1" applyFont="1" applyFill="1" applyBorder="1" applyAlignment="1">
      <alignment horizontal="center" vertical="center"/>
    </xf>
    <xf numFmtId="0" fontId="49" fillId="12" borderId="11" xfId="0" applyFont="1" applyFill="1" applyBorder="1" applyAlignment="1">
      <alignment vertical="center" wrapText="1"/>
    </xf>
    <xf numFmtId="43" fontId="49" fillId="12" borderId="11" xfId="1" applyFont="1" applyFill="1" applyBorder="1" applyAlignment="1">
      <alignment vertical="center"/>
    </xf>
    <xf numFmtId="165" fontId="49" fillId="5" borderId="0" xfId="1" applyNumberFormat="1" applyFont="1" applyFill="1" applyBorder="1" applyAlignment="1">
      <alignment vertical="center"/>
    </xf>
    <xf numFmtId="43" fontId="15" fillId="10" borderId="11" xfId="1" applyFont="1" applyFill="1" applyBorder="1" applyAlignment="1">
      <alignment horizontal="right" vertical="center"/>
    </xf>
    <xf numFmtId="49" fontId="46" fillId="12" borderId="11" xfId="0" applyNumberFormat="1" applyFont="1" applyFill="1" applyBorder="1" applyAlignment="1">
      <alignment horizontal="center" vertical="center"/>
    </xf>
    <xf numFmtId="0" fontId="46" fillId="12" borderId="11" xfId="0" applyFont="1" applyFill="1" applyBorder="1" applyAlignment="1">
      <alignment vertical="center" wrapText="1"/>
    </xf>
    <xf numFmtId="43" fontId="46" fillId="12" borderId="11" xfId="1" applyFont="1" applyFill="1" applyBorder="1" applyAlignment="1">
      <alignment vertical="center"/>
    </xf>
    <xf numFmtId="165" fontId="46" fillId="5" borderId="0" xfId="1" applyNumberFormat="1" applyFont="1" applyFill="1" applyBorder="1" applyAlignment="1">
      <alignment vertical="center"/>
    </xf>
    <xf numFmtId="49" fontId="54" fillId="9" borderId="11" xfId="0" applyNumberFormat="1" applyFont="1" applyFill="1" applyBorder="1" applyAlignment="1">
      <alignment horizontal="center" vertical="center"/>
    </xf>
    <xf numFmtId="165" fontId="41" fillId="5" borderId="0" xfId="0" applyNumberFormat="1" applyFont="1" applyFill="1" applyAlignment="1">
      <alignment vertical="center"/>
    </xf>
    <xf numFmtId="43" fontId="41" fillId="13" borderId="11" xfId="1" applyFont="1" applyFill="1" applyBorder="1" applyAlignment="1">
      <alignment vertical="center"/>
    </xf>
    <xf numFmtId="0" fontId="1" fillId="10" borderId="11" xfId="0" applyFont="1" applyFill="1" applyBorder="1" applyAlignment="1">
      <alignment vertical="center"/>
    </xf>
    <xf numFmtId="49" fontId="1" fillId="10" borderId="11" xfId="0" applyNumberFormat="1" applyFont="1" applyFill="1" applyBorder="1" applyAlignment="1">
      <alignment horizontal="center" vertical="center"/>
    </xf>
    <xf numFmtId="0" fontId="1" fillId="10" borderId="11" xfId="0" applyFont="1" applyFill="1" applyBorder="1" applyAlignment="1">
      <alignment vertical="center" wrapText="1"/>
    </xf>
    <xf numFmtId="43" fontId="1" fillId="10" borderId="11" xfId="1" applyFont="1" applyFill="1" applyBorder="1" applyAlignment="1">
      <alignment vertical="center"/>
    </xf>
    <xf numFmtId="43" fontId="40" fillId="10" borderId="11" xfId="1" applyFont="1" applyFill="1" applyBorder="1" applyAlignment="1">
      <alignment vertical="center"/>
    </xf>
    <xf numFmtId="165" fontId="1" fillId="10" borderId="11" xfId="1" applyNumberFormat="1" applyFont="1" applyFill="1" applyBorder="1" applyAlignment="1">
      <alignment vertical="center"/>
    </xf>
    <xf numFmtId="43" fontId="15" fillId="5" borderId="11" xfId="1" applyFont="1" applyFill="1" applyBorder="1" applyAlignment="1">
      <alignment vertical="center"/>
    </xf>
    <xf numFmtId="43" fontId="1" fillId="5" borderId="11" xfId="1" applyFont="1" applyFill="1" applyBorder="1" applyAlignment="1">
      <alignment vertical="center"/>
    </xf>
    <xf numFmtId="165" fontId="55" fillId="5" borderId="11" xfId="1" applyNumberFormat="1" applyFont="1" applyFill="1" applyBorder="1" applyAlignment="1">
      <alignment vertical="center"/>
    </xf>
    <xf numFmtId="0" fontId="0" fillId="5" borderId="0" xfId="0" applyFill="1" applyAlignment="1">
      <alignment vertical="center"/>
    </xf>
    <xf numFmtId="0" fontId="0" fillId="0" borderId="0" xfId="0" applyAlignment="1">
      <alignment vertical="center"/>
    </xf>
    <xf numFmtId="43" fontId="0" fillId="0" borderId="0" xfId="1" applyFont="1" applyAlignment="1">
      <alignment vertical="center"/>
    </xf>
    <xf numFmtId="0" fontId="32" fillId="9" borderId="11" xfId="0" applyFont="1" applyFill="1" applyBorder="1" applyAlignment="1">
      <alignment horizontal="center" vertical="center"/>
    </xf>
    <xf numFmtId="49" fontId="32" fillId="9" borderId="11" xfId="0" applyNumberFormat="1" applyFont="1" applyFill="1" applyBorder="1" applyAlignment="1">
      <alignment horizontal="center" vertical="center"/>
    </xf>
    <xf numFmtId="0" fontId="32" fillId="9" borderId="11" xfId="0" applyFont="1" applyFill="1" applyBorder="1" applyAlignment="1">
      <alignment vertical="center" wrapText="1"/>
    </xf>
    <xf numFmtId="0" fontId="11" fillId="10" borderId="11" xfId="0" applyFont="1" applyFill="1" applyBorder="1" applyAlignment="1">
      <alignment horizontal="center" vertical="center"/>
    </xf>
    <xf numFmtId="49" fontId="11" fillId="10" borderId="11" xfId="0" applyNumberFormat="1" applyFont="1" applyFill="1" applyBorder="1" applyAlignment="1">
      <alignment horizontal="center" vertical="center"/>
    </xf>
    <xf numFmtId="0" fontId="11" fillId="10" borderId="11" xfId="0" applyFont="1" applyFill="1" applyBorder="1" applyAlignment="1">
      <alignment vertical="center" wrapText="1"/>
    </xf>
    <xf numFmtId="0" fontId="13" fillId="5" borderId="11" xfId="0" applyFont="1" applyFill="1" applyBorder="1" applyAlignment="1">
      <alignment horizontal="center" vertical="center"/>
    </xf>
    <xf numFmtId="49" fontId="13" fillId="5" borderId="11" xfId="0" applyNumberFormat="1" applyFont="1" applyFill="1" applyBorder="1" applyAlignment="1">
      <alignment horizontal="center" vertical="center"/>
    </xf>
    <xf numFmtId="49" fontId="11" fillId="5" borderId="11" xfId="0" applyNumberFormat="1" applyFont="1" applyFill="1" applyBorder="1" applyAlignment="1">
      <alignment horizontal="center" vertical="center"/>
    </xf>
    <xf numFmtId="0" fontId="13" fillId="5" borderId="11" xfId="0" applyFont="1" applyFill="1" applyBorder="1" applyAlignment="1">
      <alignment vertical="center" wrapText="1"/>
    </xf>
    <xf numFmtId="0" fontId="44" fillId="5" borderId="11" xfId="0" applyFont="1" applyFill="1" applyBorder="1" applyAlignment="1">
      <alignment vertical="center" wrapText="1"/>
    </xf>
    <xf numFmtId="0" fontId="11" fillId="5" borderId="11" xfId="0" applyFont="1" applyFill="1" applyBorder="1" applyAlignment="1">
      <alignment horizontal="center" vertical="center"/>
    </xf>
    <xf numFmtId="49" fontId="44" fillId="5" borderId="11" xfId="0" applyNumberFormat="1" applyFont="1" applyFill="1" applyBorder="1" applyAlignment="1">
      <alignment horizontal="center" vertical="center"/>
    </xf>
    <xf numFmtId="49" fontId="44" fillId="0" borderId="11" xfId="0" applyNumberFormat="1" applyFont="1" applyBorder="1" applyAlignment="1">
      <alignment horizontal="center" vertical="center"/>
    </xf>
    <xf numFmtId="0" fontId="13" fillId="0" borderId="11" xfId="0" applyFont="1" applyBorder="1" applyAlignment="1">
      <alignment vertical="center" wrapText="1"/>
    </xf>
    <xf numFmtId="165" fontId="13" fillId="0" borderId="11" xfId="1" applyNumberFormat="1" applyFont="1" applyBorder="1" applyAlignment="1">
      <alignment vertical="center"/>
    </xf>
    <xf numFmtId="165" fontId="13" fillId="0" borderId="29" xfId="1" applyNumberFormat="1" applyFont="1" applyBorder="1" applyAlignment="1">
      <alignment vertical="center"/>
    </xf>
    <xf numFmtId="49" fontId="19" fillId="10" borderId="11" xfId="0" applyNumberFormat="1" applyFont="1" applyFill="1" applyBorder="1" applyAlignment="1">
      <alignment horizontal="center" vertical="center"/>
    </xf>
    <xf numFmtId="49" fontId="44" fillId="10" borderId="11" xfId="0" applyNumberFormat="1" applyFont="1" applyFill="1" applyBorder="1" applyAlignment="1">
      <alignment horizontal="center" vertical="center"/>
    </xf>
    <xf numFmtId="0" fontId="44" fillId="0" borderId="11" xfId="0" applyFont="1" applyBorder="1" applyAlignment="1">
      <alignment vertical="center" wrapText="1"/>
    </xf>
    <xf numFmtId="0" fontId="19" fillId="10" borderId="11" xfId="0" applyFont="1" applyFill="1" applyBorder="1" applyAlignment="1">
      <alignment vertical="center" wrapText="1"/>
    </xf>
    <xf numFmtId="0" fontId="11" fillId="11" borderId="11" xfId="0" applyFont="1" applyFill="1" applyBorder="1" applyAlignment="1">
      <alignment horizontal="center" vertical="center"/>
    </xf>
    <xf numFmtId="49" fontId="11" fillId="11" borderId="11" xfId="0" applyNumberFormat="1" applyFont="1" applyFill="1" applyBorder="1" applyAlignment="1">
      <alignment horizontal="center" vertical="center"/>
    </xf>
    <xf numFmtId="0" fontId="11" fillId="11" borderId="11" xfId="0" applyFont="1" applyFill="1" applyBorder="1" applyAlignment="1">
      <alignment vertical="center" wrapText="1"/>
    </xf>
    <xf numFmtId="49" fontId="13" fillId="12" borderId="11" xfId="0" applyNumberFormat="1" applyFont="1" applyFill="1" applyBorder="1" applyAlignment="1">
      <alignment horizontal="center" vertical="center"/>
    </xf>
    <xf numFmtId="0" fontId="56" fillId="12" borderId="11" xfId="0" applyFont="1" applyFill="1" applyBorder="1" applyAlignment="1">
      <alignment vertical="center" wrapText="1"/>
    </xf>
    <xf numFmtId="49" fontId="44" fillId="12" borderId="11" xfId="0" applyNumberFormat="1" applyFont="1" applyFill="1" applyBorder="1" applyAlignment="1">
      <alignment horizontal="center" vertical="center"/>
    </xf>
    <xf numFmtId="0" fontId="57" fillId="10" borderId="11" xfId="0" applyFont="1" applyFill="1" applyBorder="1" applyAlignment="1">
      <alignment vertical="center" wrapText="1"/>
    </xf>
    <xf numFmtId="49" fontId="32" fillId="9" borderId="11" xfId="0" applyNumberFormat="1" applyFont="1" applyFill="1" applyBorder="1" applyAlignment="1">
      <alignment horizontal="left" vertical="center"/>
    </xf>
    <xf numFmtId="165" fontId="32" fillId="9" borderId="11" xfId="1" applyNumberFormat="1" applyFont="1" applyFill="1" applyBorder="1" applyAlignment="1">
      <alignment horizontal="right" vertical="center"/>
    </xf>
    <xf numFmtId="49" fontId="11" fillId="10" borderId="11" xfId="0" applyNumberFormat="1" applyFont="1" applyFill="1" applyBorder="1" applyAlignment="1">
      <alignment horizontal="left" vertical="center"/>
    </xf>
    <xf numFmtId="0" fontId="39" fillId="9" borderId="27" xfId="0" applyFont="1" applyFill="1" applyBorder="1" applyAlignment="1">
      <alignment vertical="center"/>
    </xf>
    <xf numFmtId="49" fontId="39" fillId="9" borderId="27" xfId="0" applyNumberFormat="1" applyFont="1" applyFill="1" applyBorder="1" applyAlignment="1">
      <alignment horizontal="center" vertical="center"/>
    </xf>
    <xf numFmtId="0" fontId="44" fillId="5" borderId="0" xfId="0" applyFont="1" applyFill="1" applyAlignment="1">
      <alignment vertical="center" wrapText="1"/>
    </xf>
    <xf numFmtId="165" fontId="11" fillId="0" borderId="12" xfId="0" applyNumberFormat="1" applyFont="1" applyBorder="1" applyAlignment="1">
      <alignment vertical="center"/>
    </xf>
    <xf numFmtId="0" fontId="13" fillId="2" borderId="5" xfId="0" applyFont="1" applyFill="1" applyBorder="1" applyAlignment="1">
      <alignment vertical="center"/>
    </xf>
    <xf numFmtId="0" fontId="32" fillId="5" borderId="0" xfId="0" applyFont="1" applyFill="1" applyAlignment="1">
      <alignment horizontal="center" vertical="center"/>
    </xf>
    <xf numFmtId="165" fontId="32" fillId="5" borderId="0" xfId="0" applyNumberFormat="1" applyFont="1" applyFill="1" applyAlignment="1">
      <alignment vertical="center"/>
    </xf>
    <xf numFmtId="49" fontId="39" fillId="9" borderId="11" xfId="0" applyNumberFormat="1" applyFont="1" applyFill="1" applyBorder="1" applyAlignment="1">
      <alignment horizontal="center" vertical="center"/>
    </xf>
    <xf numFmtId="0" fontId="32" fillId="5" borderId="42" xfId="0" applyFont="1" applyFill="1" applyBorder="1" applyAlignment="1">
      <alignment horizontal="center" vertical="center"/>
    </xf>
    <xf numFmtId="0" fontId="32" fillId="5" borderId="40" xfId="0" applyFont="1" applyFill="1" applyBorder="1" applyAlignment="1">
      <alignment horizontal="center" vertical="center"/>
    </xf>
    <xf numFmtId="0" fontId="40" fillId="9" borderId="11" xfId="0" applyFont="1" applyFill="1" applyBorder="1" applyAlignment="1">
      <alignment horizontal="justify" vertical="center" wrapText="1"/>
    </xf>
    <xf numFmtId="0" fontId="40" fillId="12" borderId="11" xfId="0" applyFont="1" applyFill="1" applyBorder="1" applyAlignment="1">
      <alignment horizontal="justify" vertical="center" wrapText="1"/>
    </xf>
    <xf numFmtId="0" fontId="1" fillId="10" borderId="11" xfId="0" applyFont="1" applyFill="1" applyBorder="1" applyAlignment="1">
      <alignment horizontal="justify" vertical="center" wrapText="1"/>
    </xf>
    <xf numFmtId="0" fontId="32" fillId="13" borderId="11" xfId="0" applyFont="1" applyFill="1" applyBorder="1" applyAlignment="1">
      <alignment vertical="center"/>
    </xf>
    <xf numFmtId="49" fontId="32" fillId="13" borderId="11" xfId="0" applyNumberFormat="1" applyFont="1" applyFill="1" applyBorder="1" applyAlignment="1">
      <alignment horizontal="center" vertical="center"/>
    </xf>
    <xf numFmtId="165" fontId="32" fillId="13" borderId="11" xfId="1" applyNumberFormat="1" applyFont="1" applyFill="1" applyBorder="1" applyAlignment="1">
      <alignment vertical="center" wrapText="1"/>
    </xf>
    <xf numFmtId="165" fontId="59" fillId="9" borderId="11" xfId="1" applyNumberFormat="1" applyFont="1" applyFill="1" applyBorder="1" applyAlignment="1">
      <alignment vertical="center"/>
    </xf>
    <xf numFmtId="165" fontId="60" fillId="10" borderId="11" xfId="1" applyNumberFormat="1" applyFont="1" applyFill="1" applyBorder="1" applyAlignment="1">
      <alignment vertical="center"/>
    </xf>
    <xf numFmtId="165" fontId="61" fillId="9" borderId="11" xfId="1" applyNumberFormat="1" applyFont="1" applyFill="1" applyBorder="1" applyAlignment="1">
      <alignment vertical="center"/>
    </xf>
    <xf numFmtId="165" fontId="61" fillId="13" borderId="11" xfId="1" applyNumberFormat="1" applyFont="1" applyFill="1" applyBorder="1" applyAlignment="1">
      <alignment vertical="center"/>
    </xf>
    <xf numFmtId="165" fontId="19" fillId="0" borderId="43" xfId="0" applyNumberFormat="1" applyFont="1" applyBorder="1" applyAlignment="1">
      <alignment vertical="center"/>
    </xf>
    <xf numFmtId="165" fontId="13" fillId="0" borderId="11" xfId="0" applyNumberFormat="1" applyFont="1" applyBorder="1" applyAlignment="1">
      <alignment vertical="center"/>
    </xf>
    <xf numFmtId="165" fontId="11" fillId="0" borderId="11" xfId="0" applyNumberFormat="1" applyFont="1" applyBorder="1" applyAlignment="1">
      <alignment vertical="center"/>
    </xf>
    <xf numFmtId="165" fontId="22" fillId="0" borderId="11" xfId="0" applyNumberFormat="1" applyFont="1" applyBorder="1"/>
    <xf numFmtId="165" fontId="22" fillId="0" borderId="12" xfId="0" applyNumberFormat="1" applyFont="1" applyBorder="1"/>
    <xf numFmtId="37" fontId="5" fillId="19" borderId="46" xfId="0" applyNumberFormat="1" applyFont="1" applyFill="1" applyBorder="1" applyAlignment="1">
      <alignment horizontal="justify" vertical="center" wrapText="1"/>
    </xf>
    <xf numFmtId="37" fontId="17" fillId="5" borderId="6" xfId="0" applyNumberFormat="1" applyFont="1" applyFill="1" applyBorder="1" applyAlignment="1">
      <alignment horizontal="justify" vertical="center" wrapText="1"/>
    </xf>
    <xf numFmtId="37" fontId="17" fillId="5" borderId="7" xfId="0" applyNumberFormat="1" applyFont="1" applyFill="1" applyBorder="1" applyAlignment="1">
      <alignment horizontal="justify" vertical="center" wrapText="1"/>
    </xf>
    <xf numFmtId="0" fontId="10" fillId="2" borderId="26" xfId="0" applyFont="1" applyFill="1" applyBorder="1" applyAlignment="1">
      <alignment vertical="center" wrapText="1"/>
    </xf>
    <xf numFmtId="3" fontId="10" fillId="2" borderId="27" xfId="0" applyNumberFormat="1" applyFont="1" applyFill="1" applyBorder="1" applyAlignment="1">
      <alignment vertical="center" wrapText="1"/>
    </xf>
    <xf numFmtId="37" fontId="5" fillId="5" borderId="8" xfId="0" applyNumberFormat="1" applyFont="1" applyFill="1" applyBorder="1" applyAlignment="1">
      <alignment horizontal="justify" vertical="center" wrapText="1"/>
    </xf>
    <xf numFmtId="37" fontId="5" fillId="5" borderId="5" xfId="0" applyNumberFormat="1" applyFont="1" applyFill="1" applyBorder="1" applyAlignment="1">
      <alignment vertical="center"/>
    </xf>
    <xf numFmtId="37" fontId="5" fillId="5" borderId="11" xfId="0" applyNumberFormat="1" applyFont="1" applyFill="1" applyBorder="1" applyAlignment="1">
      <alignment vertical="center"/>
    </xf>
    <xf numFmtId="37" fontId="5" fillId="5" borderId="12" xfId="0" applyNumberFormat="1" applyFont="1" applyFill="1" applyBorder="1" applyAlignment="1">
      <alignment vertical="center"/>
    </xf>
    <xf numFmtId="37" fontId="30" fillId="5" borderId="11" xfId="0" applyNumberFormat="1" applyFont="1" applyFill="1" applyBorder="1" applyAlignment="1">
      <alignment vertical="center"/>
    </xf>
    <xf numFmtId="37" fontId="31" fillId="5" borderId="12" xfId="0" applyNumberFormat="1" applyFont="1" applyFill="1" applyBorder="1" applyAlignment="1">
      <alignment vertical="center"/>
    </xf>
    <xf numFmtId="37" fontId="27" fillId="5" borderId="11" xfId="0" applyNumberFormat="1" applyFont="1" applyFill="1" applyBorder="1" applyAlignment="1">
      <alignment vertical="center"/>
    </xf>
    <xf numFmtId="39" fontId="14" fillId="5" borderId="12" xfId="0" applyNumberFormat="1" applyFont="1" applyFill="1" applyBorder="1" applyAlignment="1">
      <alignment vertical="center"/>
    </xf>
    <xf numFmtId="39" fontId="14" fillId="5" borderId="46" xfId="0" applyNumberFormat="1" applyFont="1" applyFill="1" applyBorder="1" applyAlignment="1">
      <alignment vertical="center"/>
    </xf>
    <xf numFmtId="43" fontId="40" fillId="9" borderId="11" xfId="1" applyFont="1" applyFill="1" applyBorder="1" applyAlignment="1">
      <alignment horizontal="center" vertical="center" wrapText="1"/>
    </xf>
    <xf numFmtId="43" fontId="40" fillId="9" borderId="11" xfId="1" applyFont="1" applyFill="1" applyBorder="1" applyAlignment="1">
      <alignment vertical="center" wrapText="1"/>
    </xf>
    <xf numFmtId="43" fontId="15" fillId="10" borderId="11" xfId="1" applyFont="1" applyFill="1" applyBorder="1" applyAlignment="1">
      <alignment vertical="center" wrapText="1"/>
    </xf>
    <xf numFmtId="43" fontId="47" fillId="5" borderId="11" xfId="1" applyFont="1" applyFill="1" applyBorder="1" applyAlignment="1">
      <alignment vertical="center" wrapText="1"/>
    </xf>
    <xf numFmtId="43" fontId="15" fillId="16" borderId="11" xfId="1" applyFont="1" applyFill="1" applyBorder="1" applyAlignment="1">
      <alignment vertical="center" wrapText="1"/>
    </xf>
    <xf numFmtId="43" fontId="51" fillId="16" borderId="11" xfId="1" applyFont="1" applyFill="1" applyBorder="1" applyAlignment="1">
      <alignment vertical="center" wrapText="1"/>
    </xf>
    <xf numFmtId="43" fontId="49" fillId="12" borderId="11" xfId="1" applyFont="1" applyFill="1" applyBorder="1" applyAlignment="1">
      <alignment vertical="center" wrapText="1"/>
    </xf>
    <xf numFmtId="43" fontId="46" fillId="12" borderId="11" xfId="1" applyFont="1" applyFill="1" applyBorder="1" applyAlignment="1">
      <alignment vertical="center" wrapText="1"/>
    </xf>
    <xf numFmtId="43" fontId="41" fillId="13" borderId="6" xfId="1" applyFont="1" applyFill="1" applyBorder="1" applyAlignment="1">
      <alignment horizontal="center" vertical="center"/>
    </xf>
    <xf numFmtId="43" fontId="1" fillId="10" borderId="11" xfId="1" applyFont="1" applyFill="1" applyBorder="1" applyAlignment="1">
      <alignment vertical="center" wrapText="1"/>
    </xf>
    <xf numFmtId="43" fontId="40" fillId="10" borderId="11" xfId="1" applyFont="1" applyFill="1" applyBorder="1" applyAlignment="1">
      <alignment vertical="center" wrapText="1"/>
    </xf>
    <xf numFmtId="43" fontId="40" fillId="12" borderId="11" xfId="1" applyFont="1" applyFill="1" applyBorder="1" applyAlignment="1">
      <alignment vertical="center" wrapText="1"/>
    </xf>
    <xf numFmtId="43" fontId="15" fillId="5" borderId="11" xfId="1" applyFont="1" applyFill="1" applyBorder="1" applyAlignment="1">
      <alignment vertical="center" wrapText="1"/>
    </xf>
    <xf numFmtId="43" fontId="1" fillId="5" borderId="11" xfId="1" applyFont="1" applyFill="1" applyBorder="1" applyAlignment="1">
      <alignment vertical="center" wrapText="1"/>
    </xf>
    <xf numFmtId="43" fontId="0" fillId="0" borderId="0" xfId="1" applyFont="1" applyAlignment="1">
      <alignment vertical="center" wrapText="1"/>
    </xf>
    <xf numFmtId="0" fontId="58" fillId="0" borderId="0" xfId="0" applyFont="1" applyAlignment="1">
      <alignment vertical="center"/>
    </xf>
    <xf numFmtId="0" fontId="19" fillId="0" borderId="0" xfId="0" applyFont="1" applyAlignment="1">
      <alignment horizontal="center" vertical="center" wrapText="1"/>
    </xf>
    <xf numFmtId="4" fontId="14" fillId="0" borderId="11" xfId="0" applyNumberFormat="1" applyFont="1" applyBorder="1" applyAlignment="1">
      <alignment vertical="center" wrapText="1"/>
    </xf>
    <xf numFmtId="4" fontId="8" fillId="5" borderId="11" xfId="0" applyNumberFormat="1" applyFont="1" applyFill="1" applyBorder="1" applyAlignment="1">
      <alignment vertical="center" wrapText="1"/>
    </xf>
    <xf numFmtId="4" fontId="14" fillId="5" borderId="11" xfId="0" applyNumberFormat="1" applyFont="1" applyFill="1" applyBorder="1" applyAlignment="1">
      <alignment vertical="center" wrapText="1"/>
    </xf>
    <xf numFmtId="165" fontId="60" fillId="10" borderId="11" xfId="1" applyNumberFormat="1" applyFont="1" applyFill="1" applyBorder="1" applyAlignment="1">
      <alignment horizontal="right" vertical="center"/>
    </xf>
    <xf numFmtId="3" fontId="10" fillId="2" borderId="12" xfId="0" applyNumberFormat="1" applyFont="1" applyFill="1" applyBorder="1" applyAlignment="1">
      <alignment vertical="center" wrapText="1"/>
    </xf>
    <xf numFmtId="3" fontId="10" fillId="2" borderId="28" xfId="0" applyNumberFormat="1" applyFont="1" applyFill="1" applyBorder="1" applyAlignment="1">
      <alignment vertical="center" wrapText="1"/>
    </xf>
    <xf numFmtId="37" fontId="14" fillId="5" borderId="5" xfId="0" applyNumberFormat="1" applyFont="1" applyFill="1" applyBorder="1" applyAlignment="1">
      <alignment vertical="center" wrapText="1"/>
    </xf>
    <xf numFmtId="37" fontId="25" fillId="5" borderId="6" xfId="0" applyNumberFormat="1" applyFont="1" applyFill="1" applyBorder="1" applyAlignment="1">
      <alignment vertical="center" wrapText="1"/>
    </xf>
    <xf numFmtId="37" fontId="28" fillId="5" borderId="5" xfId="0" applyNumberFormat="1" applyFont="1" applyFill="1" applyBorder="1" applyAlignment="1">
      <alignment vertical="center" wrapText="1"/>
    </xf>
    <xf numFmtId="37" fontId="29" fillId="5" borderId="7" xfId="0" applyNumberFormat="1" applyFont="1" applyFill="1" applyBorder="1" applyAlignment="1">
      <alignment vertical="center" wrapText="1"/>
    </xf>
    <xf numFmtId="37" fontId="25" fillId="5" borderId="5" xfId="0" applyNumberFormat="1" applyFont="1" applyFill="1" applyBorder="1" applyAlignment="1">
      <alignment vertical="center" wrapText="1"/>
    </xf>
    <xf numFmtId="39" fontId="25" fillId="5" borderId="7" xfId="0" applyNumberFormat="1" applyFont="1" applyFill="1" applyBorder="1" applyAlignment="1">
      <alignment vertical="center" wrapText="1"/>
    </xf>
    <xf numFmtId="0" fontId="0" fillId="5" borderId="0" xfId="0" applyFill="1"/>
    <xf numFmtId="41" fontId="32" fillId="13" borderId="11" xfId="2" applyFont="1" applyFill="1" applyBorder="1" applyAlignment="1">
      <alignment vertical="center"/>
    </xf>
    <xf numFmtId="10" fontId="33" fillId="0" borderId="0" xfId="10" applyNumberFormat="1" applyFont="1" applyAlignment="1">
      <alignment vertical="center"/>
    </xf>
    <xf numFmtId="176" fontId="0" fillId="0" borderId="0" xfId="10" applyNumberFormat="1" applyFont="1" applyAlignment="1">
      <alignment vertical="center" wrapText="1"/>
    </xf>
    <xf numFmtId="9" fontId="11" fillId="5" borderId="0" xfId="10" applyFont="1" applyFill="1" applyAlignment="1">
      <alignment horizontal="center" vertical="center"/>
    </xf>
    <xf numFmtId="41" fontId="32" fillId="9" borderId="11" xfId="0" applyNumberFormat="1" applyFont="1" applyFill="1" applyBorder="1" applyAlignment="1">
      <alignment horizontal="center" vertical="center"/>
    </xf>
    <xf numFmtId="41" fontId="32" fillId="9" borderId="11" xfId="0" applyNumberFormat="1" applyFont="1" applyFill="1" applyBorder="1" applyAlignment="1">
      <alignment vertical="center"/>
    </xf>
    <xf numFmtId="41" fontId="11" fillId="10" borderId="11" xfId="0" applyNumberFormat="1" applyFont="1" applyFill="1" applyBorder="1" applyAlignment="1">
      <alignment vertical="center"/>
    </xf>
    <xf numFmtId="41" fontId="13" fillId="5" borderId="11" xfId="0" applyNumberFormat="1" applyFont="1" applyFill="1" applyBorder="1" applyAlignment="1">
      <alignment vertical="center"/>
    </xf>
    <xf numFmtId="41" fontId="13" fillId="5" borderId="11" xfId="1" applyNumberFormat="1" applyFont="1" applyFill="1" applyBorder="1" applyAlignment="1">
      <alignment vertical="center"/>
    </xf>
    <xf numFmtId="41" fontId="34" fillId="10" borderId="11" xfId="1" applyNumberFormat="1" applyFont="1" applyFill="1" applyBorder="1" applyAlignment="1">
      <alignment vertical="center"/>
    </xf>
    <xf numFmtId="41" fontId="35" fillId="0" borderId="11" xfId="1" applyNumberFormat="1" applyFont="1" applyBorder="1" applyAlignment="1">
      <alignment vertical="center"/>
    </xf>
    <xf numFmtId="41" fontId="11" fillId="10" borderId="11" xfId="1" applyNumberFormat="1" applyFont="1" applyFill="1" applyBorder="1" applyAlignment="1">
      <alignment vertical="center"/>
    </xf>
    <xf numFmtId="41" fontId="11" fillId="11" borderId="11" xfId="0" applyNumberFormat="1" applyFont="1" applyFill="1" applyBorder="1" applyAlignment="1">
      <alignment vertical="center"/>
    </xf>
    <xf numFmtId="41" fontId="11" fillId="10" borderId="27" xfId="0" applyNumberFormat="1" applyFont="1" applyFill="1" applyBorder="1" applyAlignment="1">
      <alignment vertical="center"/>
    </xf>
    <xf numFmtId="41" fontId="35" fillId="5" borderId="11" xfId="0" applyNumberFormat="1" applyFont="1" applyFill="1" applyBorder="1" applyAlignment="1">
      <alignment vertical="center"/>
    </xf>
    <xf numFmtId="41" fontId="11" fillId="10" borderId="29" xfId="1" applyNumberFormat="1" applyFont="1" applyFill="1" applyBorder="1" applyAlignment="1">
      <alignment vertical="center"/>
    </xf>
    <xf numFmtId="41" fontId="13" fillId="14" borderId="11" xfId="1" applyNumberFormat="1" applyFont="1" applyFill="1" applyBorder="1" applyAlignment="1">
      <alignment vertical="center"/>
    </xf>
    <xf numFmtId="41" fontId="11" fillId="10" borderId="11" xfId="1" applyNumberFormat="1" applyFont="1" applyFill="1" applyBorder="1" applyAlignment="1">
      <alignment horizontal="left" vertical="center"/>
    </xf>
    <xf numFmtId="41" fontId="35" fillId="12" borderId="11" xfId="1" applyNumberFormat="1" applyFont="1" applyFill="1" applyBorder="1" applyAlignment="1">
      <alignment vertical="center"/>
    </xf>
    <xf numFmtId="41" fontId="34" fillId="10" borderId="11" xfId="0" applyNumberFormat="1" applyFont="1" applyFill="1" applyBorder="1" applyAlignment="1">
      <alignment vertical="center"/>
    </xf>
    <xf numFmtId="41" fontId="13" fillId="10" borderId="11" xfId="0" applyNumberFormat="1" applyFont="1" applyFill="1" applyBorder="1" applyAlignment="1">
      <alignment vertical="center"/>
    </xf>
    <xf numFmtId="41" fontId="32" fillId="9" borderId="11" xfId="2" applyFont="1" applyFill="1" applyBorder="1" applyAlignment="1">
      <alignment horizontal="left" vertical="center"/>
    </xf>
    <xf numFmtId="49" fontId="19" fillId="5" borderId="0" xfId="0" applyNumberFormat="1" applyFont="1" applyFill="1" applyAlignment="1">
      <alignment horizontal="center" vertical="center" wrapText="1"/>
    </xf>
    <xf numFmtId="3" fontId="11" fillId="5" borderId="0" xfId="0" applyNumberFormat="1" applyFont="1" applyFill="1" applyAlignment="1">
      <alignment vertical="center" wrapText="1"/>
    </xf>
    <xf numFmtId="0" fontId="21" fillId="5" borderId="0" xfId="0" applyFont="1" applyFill="1" applyAlignment="1">
      <alignment vertical="center" wrapText="1"/>
    </xf>
    <xf numFmtId="4" fontId="21" fillId="5" borderId="0" xfId="0" applyNumberFormat="1" applyFont="1" applyFill="1" applyAlignment="1">
      <alignment vertical="center" wrapText="1"/>
    </xf>
    <xf numFmtId="3" fontId="32" fillId="5" borderId="0" xfId="0" applyNumberFormat="1" applyFont="1" applyFill="1" applyAlignment="1">
      <alignment vertical="center" wrapText="1"/>
    </xf>
    <xf numFmtId="4" fontId="32" fillId="5" borderId="0" xfId="0" applyNumberFormat="1" applyFont="1" applyFill="1" applyAlignment="1">
      <alignment vertical="center" wrapText="1"/>
    </xf>
    <xf numFmtId="3" fontId="62" fillId="5" borderId="0" xfId="0" applyNumberFormat="1" applyFont="1" applyFill="1" applyAlignment="1">
      <alignment vertical="center" wrapText="1"/>
    </xf>
    <xf numFmtId="4" fontId="62" fillId="5" borderId="0" xfId="0" applyNumberFormat="1" applyFont="1" applyFill="1" applyAlignment="1">
      <alignment vertical="center" wrapText="1"/>
    </xf>
    <xf numFmtId="4" fontId="62" fillId="0" borderId="0" xfId="0" applyNumberFormat="1" applyFont="1" applyAlignment="1">
      <alignment vertical="center" wrapText="1"/>
    </xf>
    <xf numFmtId="0" fontId="62" fillId="0" borderId="0" xfId="0" applyFont="1" applyAlignment="1">
      <alignment vertical="center" wrapText="1"/>
    </xf>
    <xf numFmtId="165" fontId="62" fillId="0" borderId="0" xfId="1" applyNumberFormat="1" applyFont="1" applyAlignment="1">
      <alignment vertical="center" wrapText="1"/>
    </xf>
    <xf numFmtId="165" fontId="62" fillId="0" borderId="0" xfId="0" applyNumberFormat="1" applyFont="1" applyAlignment="1">
      <alignment vertical="center" wrapText="1"/>
    </xf>
    <xf numFmtId="3" fontId="62" fillId="0" borderId="0" xfId="0" applyNumberFormat="1" applyFont="1" applyAlignment="1">
      <alignment vertical="center" wrapText="1"/>
    </xf>
    <xf numFmtId="4" fontId="63" fillId="9" borderId="23" xfId="0" applyNumberFormat="1" applyFont="1" applyFill="1" applyBorder="1" applyAlignment="1">
      <alignment horizontal="center" vertical="center"/>
    </xf>
    <xf numFmtId="4" fontId="63" fillId="9" borderId="24" xfId="0" applyNumberFormat="1" applyFont="1" applyFill="1" applyBorder="1" applyAlignment="1">
      <alignment horizontal="center" vertical="center"/>
    </xf>
    <xf numFmtId="3" fontId="63" fillId="9" borderId="24" xfId="0" applyNumberFormat="1" applyFont="1" applyFill="1" applyBorder="1" applyAlignment="1">
      <alignment horizontal="center" vertical="center"/>
    </xf>
    <xf numFmtId="4" fontId="63" fillId="9" borderId="25" xfId="0" applyNumberFormat="1" applyFont="1" applyFill="1" applyBorder="1" applyAlignment="1">
      <alignment horizontal="center" vertical="center"/>
    </xf>
    <xf numFmtId="3" fontId="63" fillId="9" borderId="25" xfId="0" applyNumberFormat="1" applyFont="1" applyFill="1" applyBorder="1" applyAlignment="1">
      <alignment horizontal="center" vertical="center"/>
    </xf>
    <xf numFmtId="37" fontId="63" fillId="9" borderId="25" xfId="0" applyNumberFormat="1" applyFont="1" applyFill="1" applyBorder="1" applyAlignment="1">
      <alignment horizontal="center" vertical="center"/>
    </xf>
    <xf numFmtId="4" fontId="63" fillId="9" borderId="51" xfId="0" applyNumberFormat="1" applyFont="1" applyFill="1" applyBorder="1" applyAlignment="1">
      <alignment horizontal="center" vertical="center"/>
    </xf>
    <xf numFmtId="3" fontId="63" fillId="9" borderId="51" xfId="0" applyNumberFormat="1" applyFont="1" applyFill="1" applyBorder="1" applyAlignment="1">
      <alignment horizontal="center" vertical="center"/>
    </xf>
    <xf numFmtId="37" fontId="63" fillId="9" borderId="51" xfId="0" applyNumberFormat="1" applyFont="1" applyFill="1" applyBorder="1" applyAlignment="1">
      <alignment horizontal="center" vertical="center"/>
    </xf>
    <xf numFmtId="37" fontId="64" fillId="9" borderId="46" xfId="0" applyNumberFormat="1" applyFont="1" applyFill="1" applyBorder="1" applyAlignment="1">
      <alignment vertical="center"/>
    </xf>
    <xf numFmtId="37" fontId="64" fillId="9" borderId="6" xfId="0" applyNumberFormat="1" applyFont="1" applyFill="1" applyBorder="1" applyAlignment="1">
      <alignment vertical="center"/>
    </xf>
    <xf numFmtId="37" fontId="64" fillId="9" borderId="7" xfId="0" applyNumberFormat="1" applyFont="1" applyFill="1" applyBorder="1" applyAlignment="1">
      <alignment vertical="center"/>
    </xf>
    <xf numFmtId="37" fontId="64" fillId="9" borderId="5" xfId="0" applyNumberFormat="1" applyFont="1" applyFill="1" applyBorder="1" applyAlignment="1">
      <alignment vertical="center"/>
    </xf>
    <xf numFmtId="37" fontId="65" fillId="9" borderId="6" xfId="0" applyNumberFormat="1" applyFont="1" applyFill="1" applyBorder="1" applyAlignment="1">
      <alignment vertical="center"/>
    </xf>
    <xf numFmtId="37" fontId="65" fillId="9" borderId="7" xfId="0" applyNumberFormat="1" applyFont="1" applyFill="1" applyBorder="1" applyAlignment="1">
      <alignment vertical="center"/>
    </xf>
    <xf numFmtId="37" fontId="65" fillId="9" borderId="5" xfId="0" applyNumberFormat="1" applyFont="1" applyFill="1" applyBorder="1" applyAlignment="1">
      <alignment vertical="center"/>
    </xf>
    <xf numFmtId="39" fontId="65" fillId="9" borderId="7" xfId="0" applyNumberFormat="1" applyFont="1" applyFill="1" applyBorder="1" applyAlignment="1">
      <alignment vertical="center"/>
    </xf>
    <xf numFmtId="37" fontId="4" fillId="11" borderId="46" xfId="0" applyNumberFormat="1" applyFont="1" applyFill="1" applyBorder="1" applyAlignment="1">
      <alignment vertical="center"/>
    </xf>
    <xf numFmtId="37" fontId="4" fillId="11" borderId="6" xfId="0" applyNumberFormat="1" applyFont="1" applyFill="1" applyBorder="1" applyAlignment="1">
      <alignment vertical="center"/>
    </xf>
    <xf numFmtId="37" fontId="4" fillId="11" borderId="7" xfId="0" applyNumberFormat="1" applyFont="1" applyFill="1" applyBorder="1" applyAlignment="1">
      <alignment vertical="center"/>
    </xf>
    <xf numFmtId="37" fontId="24" fillId="11" borderId="5" xfId="0" applyNumberFormat="1" applyFont="1" applyFill="1" applyBorder="1" applyAlignment="1">
      <alignment vertical="center"/>
    </xf>
    <xf numFmtId="37" fontId="24" fillId="11" borderId="6" xfId="0" applyNumberFormat="1" applyFont="1" applyFill="1" applyBorder="1" applyAlignment="1">
      <alignment vertical="center"/>
    </xf>
    <xf numFmtId="37" fontId="20" fillId="11" borderId="7" xfId="0" applyNumberFormat="1" applyFont="1" applyFill="1" applyBorder="1" applyAlignment="1">
      <alignment vertical="center"/>
    </xf>
    <xf numFmtId="37" fontId="26" fillId="11" borderId="5" xfId="0" applyNumberFormat="1" applyFont="1" applyFill="1" applyBorder="1" applyAlignment="1">
      <alignment vertical="center"/>
    </xf>
    <xf numFmtId="37" fontId="26" fillId="11" borderId="6" xfId="0" applyNumberFormat="1" applyFont="1" applyFill="1" applyBorder="1" applyAlignment="1">
      <alignment vertical="center"/>
    </xf>
    <xf numFmtId="37" fontId="25" fillId="11" borderId="5" xfId="0" applyNumberFormat="1" applyFont="1" applyFill="1" applyBorder="1" applyAlignment="1">
      <alignment vertical="center"/>
    </xf>
    <xf numFmtId="37" fontId="25" fillId="11" borderId="6" xfId="0" applyNumberFormat="1" applyFont="1" applyFill="1" applyBorder="1" applyAlignment="1">
      <alignment vertical="center"/>
    </xf>
    <xf numFmtId="37" fontId="25" fillId="11" borderId="7" xfId="0" applyNumberFormat="1" applyFont="1" applyFill="1" applyBorder="1" applyAlignment="1">
      <alignment vertical="center"/>
    </xf>
    <xf numFmtId="37" fontId="4" fillId="11" borderId="46" xfId="0" applyNumberFormat="1" applyFont="1" applyFill="1" applyBorder="1" applyAlignment="1">
      <alignment horizontal="justify" vertical="center" wrapText="1"/>
    </xf>
    <xf numFmtId="37" fontId="4" fillId="11" borderId="6" xfId="0" applyNumberFormat="1" applyFont="1" applyFill="1" applyBorder="1" applyAlignment="1">
      <alignment vertical="center" wrapText="1"/>
    </xf>
    <xf numFmtId="37" fontId="4" fillId="11" borderId="11" xfId="0" applyNumberFormat="1" applyFont="1" applyFill="1" applyBorder="1" applyAlignment="1">
      <alignment horizontal="right" vertical="center"/>
    </xf>
    <xf numFmtId="37" fontId="4" fillId="11" borderId="7" xfId="0" applyNumberFormat="1" applyFont="1" applyFill="1" applyBorder="1" applyAlignment="1">
      <alignment vertical="center" wrapText="1"/>
    </xf>
    <xf numFmtId="37" fontId="28" fillId="11" borderId="5" xfId="0" applyNumberFormat="1" applyFont="1" applyFill="1" applyBorder="1" applyAlignment="1">
      <alignment vertical="center" wrapText="1"/>
    </xf>
    <xf numFmtId="37" fontId="28" fillId="11" borderId="6" xfId="0" applyNumberFormat="1" applyFont="1" applyFill="1" applyBorder="1" applyAlignment="1">
      <alignment vertical="center" wrapText="1"/>
    </xf>
    <xf numFmtId="37" fontId="8" fillId="11" borderId="11" xfId="0" applyNumberFormat="1" applyFont="1" applyFill="1" applyBorder="1" applyAlignment="1">
      <alignment horizontal="right" vertical="center"/>
    </xf>
    <xf numFmtId="37" fontId="29" fillId="11" borderId="7" xfId="0" applyNumberFormat="1" applyFont="1" applyFill="1" applyBorder="1" applyAlignment="1">
      <alignment vertical="center" wrapText="1"/>
    </xf>
    <xf numFmtId="37" fontId="25" fillId="11" borderId="5" xfId="0" applyNumberFormat="1" applyFont="1" applyFill="1" applyBorder="1" applyAlignment="1">
      <alignment vertical="center" wrapText="1"/>
    </xf>
    <xf numFmtId="37" fontId="25" fillId="11" borderId="6" xfId="0" applyNumberFormat="1" applyFont="1" applyFill="1" applyBorder="1" applyAlignment="1">
      <alignment vertical="center" wrapText="1"/>
    </xf>
    <xf numFmtId="39" fontId="8" fillId="11" borderId="12" xfId="0" applyNumberFormat="1" applyFont="1" applyFill="1" applyBorder="1" applyAlignment="1">
      <alignment horizontal="right" vertical="center"/>
    </xf>
    <xf numFmtId="37" fontId="8" fillId="11" borderId="12" xfId="0" applyNumberFormat="1" applyFont="1" applyFill="1" applyBorder="1" applyAlignment="1">
      <alignment horizontal="right" vertical="center"/>
    </xf>
    <xf numFmtId="49" fontId="32" fillId="9" borderId="9" xfId="0" applyNumberFormat="1" applyFont="1" applyFill="1" applyBorder="1" applyAlignment="1">
      <alignment horizontal="center" vertical="center" wrapText="1"/>
    </xf>
    <xf numFmtId="49" fontId="32" fillId="9" borderId="5" xfId="0" applyNumberFormat="1" applyFont="1" applyFill="1" applyBorder="1" applyAlignment="1">
      <alignment horizontal="center" vertical="center" wrapText="1"/>
    </xf>
    <xf numFmtId="49" fontId="32" fillId="9" borderId="11" xfId="0" applyNumberFormat="1" applyFont="1" applyFill="1" applyBorder="1" applyAlignment="1">
      <alignment horizontal="center" vertical="center" wrapText="1"/>
    </xf>
    <xf numFmtId="4" fontId="32" fillId="9" borderId="11" xfId="0" applyNumberFormat="1" applyFont="1" applyFill="1" applyBorder="1" applyAlignment="1">
      <alignment horizontal="center" vertical="center" wrapText="1"/>
    </xf>
    <xf numFmtId="4" fontId="32" fillId="9" borderId="12" xfId="0" applyNumberFormat="1" applyFont="1" applyFill="1" applyBorder="1" applyAlignment="1">
      <alignment horizontal="center" vertical="center" wrapText="1"/>
    </xf>
    <xf numFmtId="49" fontId="65" fillId="9" borderId="5" xfId="0" applyNumberFormat="1" applyFont="1" applyFill="1" applyBorder="1" applyAlignment="1">
      <alignment horizontal="center" vertical="center" wrapText="1"/>
    </xf>
    <xf numFmtId="49" fontId="62" fillId="9" borderId="11" xfId="0" applyNumberFormat="1" applyFont="1" applyFill="1" applyBorder="1" applyAlignment="1">
      <alignment horizontal="center" vertical="center" wrapText="1"/>
    </xf>
    <xf numFmtId="3" fontId="32" fillId="9" borderId="11" xfId="0" applyNumberFormat="1" applyFont="1" applyFill="1" applyBorder="1" applyAlignment="1">
      <alignment vertical="center" wrapText="1"/>
    </xf>
    <xf numFmtId="3" fontId="32" fillId="9" borderId="12" xfId="0" applyNumberFormat="1" applyFont="1" applyFill="1" applyBorder="1" applyAlignment="1">
      <alignment vertical="center" wrapText="1"/>
    </xf>
    <xf numFmtId="49" fontId="22" fillId="11" borderId="5" xfId="0" applyNumberFormat="1" applyFont="1" applyFill="1" applyBorder="1" applyAlignment="1">
      <alignment horizontal="center" vertical="center" wrapText="1"/>
    </xf>
    <xf numFmtId="49" fontId="22" fillId="11" borderId="11" xfId="0" applyNumberFormat="1" applyFont="1" applyFill="1" applyBorder="1" applyAlignment="1">
      <alignment horizontal="center" vertical="center" wrapText="1"/>
    </xf>
    <xf numFmtId="49" fontId="21" fillId="11" borderId="11" xfId="0" applyNumberFormat="1" applyFont="1" applyFill="1" applyBorder="1" applyAlignment="1">
      <alignment horizontal="center" vertical="center" wrapText="1"/>
    </xf>
    <xf numFmtId="3" fontId="11" fillId="11" borderId="11" xfId="0" applyNumberFormat="1" applyFont="1" applyFill="1" applyBorder="1" applyAlignment="1">
      <alignment vertical="center" wrapText="1"/>
    </xf>
    <xf numFmtId="3" fontId="11" fillId="11" borderId="12" xfId="0" applyNumberFormat="1" applyFont="1" applyFill="1" applyBorder="1" applyAlignment="1">
      <alignment vertical="center" wrapText="1"/>
    </xf>
    <xf numFmtId="49" fontId="65" fillId="9" borderId="11" xfId="0" applyNumberFormat="1" applyFont="1" applyFill="1" applyBorder="1" applyAlignment="1">
      <alignment horizontal="center" vertical="center" wrapText="1"/>
    </xf>
    <xf numFmtId="0" fontId="65" fillId="9" borderId="11" xfId="0" applyFont="1" applyFill="1" applyBorder="1" applyAlignment="1">
      <alignment vertical="center" wrapText="1"/>
    </xf>
    <xf numFmtId="3" fontId="65" fillId="9" borderId="11" xfId="0" applyNumberFormat="1" applyFont="1" applyFill="1" applyBorder="1" applyAlignment="1">
      <alignment vertical="center" wrapText="1"/>
    </xf>
    <xf numFmtId="3" fontId="62" fillId="9" borderId="30" xfId="0" applyNumberFormat="1" applyFont="1" applyFill="1" applyBorder="1" applyAlignment="1">
      <alignment vertical="center" wrapText="1"/>
    </xf>
    <xf numFmtId="3" fontId="62" fillId="9" borderId="12" xfId="0" applyNumberFormat="1" applyFont="1" applyFill="1" applyBorder="1" applyAlignment="1">
      <alignment vertical="center" wrapText="1"/>
    </xf>
    <xf numFmtId="4" fontId="32" fillId="9" borderId="11" xfId="0" applyNumberFormat="1" applyFont="1" applyFill="1" applyBorder="1" applyAlignment="1">
      <alignment vertical="center" wrapText="1"/>
    </xf>
    <xf numFmtId="3" fontId="32" fillId="9" borderId="19" xfId="0" applyNumberFormat="1" applyFont="1" applyFill="1" applyBorder="1" applyAlignment="1">
      <alignment vertical="center" wrapText="1"/>
    </xf>
    <xf numFmtId="3" fontId="32" fillId="9" borderId="21" xfId="0" applyNumberFormat="1" applyFont="1" applyFill="1" applyBorder="1" applyAlignment="1">
      <alignment vertical="center" wrapText="1"/>
    </xf>
    <xf numFmtId="4" fontId="32" fillId="9" borderId="19" xfId="0" applyNumberFormat="1" applyFont="1" applyFill="1" applyBorder="1" applyAlignment="1">
      <alignment horizontal="center" vertical="center" wrapText="1"/>
    </xf>
    <xf numFmtId="4" fontId="32" fillId="9" borderId="21" xfId="0" applyNumberFormat="1" applyFont="1" applyFill="1" applyBorder="1" applyAlignment="1">
      <alignment horizontal="center" vertical="center" wrapText="1"/>
    </xf>
    <xf numFmtId="0" fontId="9" fillId="11" borderId="14" xfId="0" applyFont="1" applyFill="1" applyBorder="1" applyAlignment="1">
      <alignment vertical="center" wrapText="1"/>
    </xf>
    <xf numFmtId="3" fontId="11" fillId="11" borderId="29" xfId="0" applyNumberFormat="1" applyFont="1" applyFill="1" applyBorder="1" applyAlignment="1">
      <alignment vertical="center" wrapText="1"/>
    </xf>
    <xf numFmtId="3" fontId="11" fillId="11" borderId="32" xfId="0" applyNumberFormat="1" applyFont="1" applyFill="1" applyBorder="1" applyAlignment="1">
      <alignment vertical="center" wrapText="1"/>
    </xf>
    <xf numFmtId="0" fontId="14" fillId="11" borderId="13" xfId="0" applyFont="1" applyFill="1" applyBorder="1" applyAlignment="1">
      <alignment vertical="center" wrapText="1"/>
    </xf>
    <xf numFmtId="3" fontId="14" fillId="11" borderId="21" xfId="0" applyNumberFormat="1" applyFont="1" applyFill="1" applyBorder="1" applyAlignment="1">
      <alignment vertical="center" wrapText="1"/>
    </xf>
    <xf numFmtId="37" fontId="4" fillId="11" borderId="11" xfId="0" applyNumberFormat="1" applyFont="1" applyFill="1" applyBorder="1" applyAlignment="1">
      <alignment vertical="center"/>
    </xf>
    <xf numFmtId="37" fontId="28" fillId="11" borderId="11" xfId="0" applyNumberFormat="1" applyFont="1" applyFill="1" applyBorder="1" applyAlignment="1">
      <alignment vertical="center"/>
    </xf>
    <xf numFmtId="37" fontId="8" fillId="11" borderId="11" xfId="0" applyNumberFormat="1" applyFont="1" applyFill="1" applyBorder="1" applyAlignment="1">
      <alignment vertical="center"/>
    </xf>
    <xf numFmtId="37" fontId="8" fillId="11" borderId="5" xfId="0" applyNumberFormat="1" applyFont="1" applyFill="1" applyBorder="1" applyAlignment="1">
      <alignment vertical="center" wrapText="1"/>
    </xf>
    <xf numFmtId="37" fontId="8" fillId="11" borderId="6" xfId="0" applyNumberFormat="1" applyFont="1" applyFill="1" applyBorder="1" applyAlignment="1">
      <alignment vertical="center" wrapText="1"/>
    </xf>
    <xf numFmtId="39" fontId="8" fillId="11" borderId="12" xfId="0" applyNumberFormat="1" applyFont="1" applyFill="1" applyBorder="1" applyAlignment="1">
      <alignment vertical="center"/>
    </xf>
    <xf numFmtId="37" fontId="8" fillId="11" borderId="12" xfId="0" applyNumberFormat="1" applyFont="1" applyFill="1" applyBorder="1" applyAlignment="1">
      <alignment vertical="center"/>
    </xf>
    <xf numFmtId="39" fontId="8" fillId="11" borderId="11" xfId="0" applyNumberFormat="1" applyFont="1" applyFill="1" applyBorder="1" applyAlignment="1">
      <alignment vertical="center"/>
    </xf>
    <xf numFmtId="3" fontId="8" fillId="11" borderId="12" xfId="0" applyNumberFormat="1" applyFont="1" applyFill="1" applyBorder="1" applyAlignment="1">
      <alignment horizontal="right" vertical="center"/>
    </xf>
    <xf numFmtId="3" fontId="8" fillId="11" borderId="30" xfId="0" applyNumberFormat="1" applyFont="1" applyFill="1" applyBorder="1" applyAlignment="1">
      <alignment horizontal="right" vertical="center"/>
    </xf>
    <xf numFmtId="3" fontId="25" fillId="11" borderId="11" xfId="0" applyNumberFormat="1" applyFont="1" applyFill="1" applyBorder="1" applyAlignment="1">
      <alignment horizontal="right" vertical="center"/>
    </xf>
    <xf numFmtId="4" fontId="8" fillId="11" borderId="7" xfId="0" applyNumberFormat="1" applyFont="1" applyFill="1" applyBorder="1" applyAlignment="1">
      <alignment horizontal="right" vertical="center"/>
    </xf>
    <xf numFmtId="3" fontId="25" fillId="11" borderId="12" xfId="0" applyNumberFormat="1" applyFont="1" applyFill="1" applyBorder="1" applyAlignment="1">
      <alignment horizontal="right" vertical="center"/>
    </xf>
    <xf numFmtId="3" fontId="8" fillId="11" borderId="7" xfId="0" applyNumberFormat="1" applyFont="1" applyFill="1" applyBorder="1" applyAlignment="1">
      <alignment horizontal="right" vertical="center"/>
    </xf>
    <xf numFmtId="37" fontId="64" fillId="9" borderId="47" xfId="0" applyNumberFormat="1" applyFont="1" applyFill="1" applyBorder="1" applyAlignment="1">
      <alignment horizontal="justify" vertical="center" wrapText="1"/>
    </xf>
    <xf numFmtId="37" fontId="64" fillId="9" borderId="18" xfId="0" applyNumberFormat="1" applyFont="1" applyFill="1" applyBorder="1" applyAlignment="1">
      <alignment vertical="center" wrapText="1"/>
    </xf>
    <xf numFmtId="37" fontId="64" fillId="9" borderId="19" xfId="0" applyNumberFormat="1" applyFont="1" applyFill="1" applyBorder="1" applyAlignment="1">
      <alignment horizontal="right" vertical="center"/>
    </xf>
    <xf numFmtId="37" fontId="64" fillId="9" borderId="20" xfId="0" applyNumberFormat="1" applyFont="1" applyFill="1" applyBorder="1" applyAlignment="1">
      <alignment vertical="center" wrapText="1"/>
    </xf>
    <xf numFmtId="37" fontId="65" fillId="9" borderId="13" xfId="0" applyNumberFormat="1" applyFont="1" applyFill="1" applyBorder="1" applyAlignment="1">
      <alignment vertical="center" wrapText="1"/>
    </xf>
    <xf numFmtId="37" fontId="65" fillId="9" borderId="18" xfId="0" applyNumberFormat="1" applyFont="1" applyFill="1" applyBorder="1" applyAlignment="1">
      <alignment vertical="center" wrapText="1"/>
    </xf>
    <xf numFmtId="3" fontId="65" fillId="9" borderId="19" xfId="0" applyNumberFormat="1" applyFont="1" applyFill="1" applyBorder="1" applyAlignment="1">
      <alignment horizontal="right" vertical="center"/>
    </xf>
    <xf numFmtId="37" fontId="65" fillId="9" borderId="20" xfId="0" applyNumberFormat="1" applyFont="1" applyFill="1" applyBorder="1" applyAlignment="1">
      <alignment vertical="center" wrapText="1"/>
    </xf>
    <xf numFmtId="37" fontId="65" fillId="9" borderId="19" xfId="0" applyNumberFormat="1" applyFont="1" applyFill="1" applyBorder="1" applyAlignment="1">
      <alignment horizontal="right" vertical="center"/>
    </xf>
    <xf numFmtId="37" fontId="65" fillId="9" borderId="21" xfId="0" applyNumberFormat="1" applyFont="1" applyFill="1" applyBorder="1" applyAlignment="1">
      <alignment horizontal="right" vertical="center"/>
    </xf>
    <xf numFmtId="39" fontId="65" fillId="9" borderId="21" xfId="0" applyNumberFormat="1" applyFont="1" applyFill="1" applyBorder="1" applyAlignment="1">
      <alignment horizontal="right" vertical="center"/>
    </xf>
    <xf numFmtId="37" fontId="64" fillId="9" borderId="16" xfId="0" applyNumberFormat="1" applyFont="1" applyFill="1" applyBorder="1" applyAlignment="1">
      <alignment horizontal="justify" vertical="center" wrapText="1"/>
    </xf>
    <xf numFmtId="37" fontId="64" fillId="9" borderId="2" xfId="0" applyNumberFormat="1" applyFont="1" applyFill="1" applyBorder="1" applyAlignment="1">
      <alignment vertical="center"/>
    </xf>
    <xf numFmtId="37" fontId="64" fillId="9" borderId="9" xfId="0" applyNumberFormat="1" applyFont="1" applyFill="1" applyBorder="1" applyAlignment="1">
      <alignment vertical="center"/>
    </xf>
    <xf numFmtId="37" fontId="64" fillId="9" borderId="10" xfId="0" applyNumberFormat="1" applyFont="1" applyFill="1" applyBorder="1" applyAlignment="1">
      <alignment vertical="center"/>
    </xf>
    <xf numFmtId="37" fontId="65" fillId="9" borderId="2" xfId="0" applyNumberFormat="1" applyFont="1" applyFill="1" applyBorder="1" applyAlignment="1">
      <alignment vertical="center"/>
    </xf>
    <xf numFmtId="37" fontId="65" fillId="9" borderId="9" xfId="0" applyNumberFormat="1" applyFont="1" applyFill="1" applyBorder="1" applyAlignment="1">
      <alignment vertical="center"/>
    </xf>
    <xf numFmtId="37" fontId="65" fillId="9" borderId="10" xfId="0" applyNumberFormat="1" applyFont="1" applyFill="1" applyBorder="1" applyAlignment="1">
      <alignment vertical="center"/>
    </xf>
    <xf numFmtId="37" fontId="4" fillId="11" borderId="8" xfId="0" applyNumberFormat="1" applyFont="1" applyFill="1" applyBorder="1" applyAlignment="1">
      <alignment horizontal="justify" vertical="center" wrapText="1"/>
    </xf>
    <xf numFmtId="37" fontId="4" fillId="11" borderId="5" xfId="0" applyNumberFormat="1" applyFont="1" applyFill="1" applyBorder="1" applyAlignment="1">
      <alignment vertical="center" wrapText="1"/>
    </xf>
    <xf numFmtId="37" fontId="4" fillId="11" borderId="11" xfId="0" applyNumberFormat="1" applyFont="1" applyFill="1" applyBorder="1" applyAlignment="1">
      <alignment vertical="center" wrapText="1"/>
    </xf>
    <xf numFmtId="37" fontId="4" fillId="11" borderId="12" xfId="0" applyNumberFormat="1" applyFont="1" applyFill="1" applyBorder="1" applyAlignment="1">
      <alignment vertical="center" wrapText="1"/>
    </xf>
    <xf numFmtId="37" fontId="28" fillId="11" borderId="11" xfId="0" applyNumberFormat="1" applyFont="1" applyFill="1" applyBorder="1" applyAlignment="1">
      <alignment vertical="center" wrapText="1"/>
    </xf>
    <xf numFmtId="37" fontId="8" fillId="11" borderId="11" xfId="0" applyNumberFormat="1" applyFont="1" applyFill="1" applyBorder="1" applyAlignment="1">
      <alignment vertical="center" wrapText="1"/>
    </xf>
    <xf numFmtId="37" fontId="29" fillId="11" borderId="12" xfId="0" applyNumberFormat="1" applyFont="1" applyFill="1" applyBorder="1" applyAlignment="1">
      <alignment vertical="center" wrapText="1"/>
    </xf>
    <xf numFmtId="37" fontId="25" fillId="11" borderId="11" xfId="0" applyNumberFormat="1" applyFont="1" applyFill="1" applyBorder="1" applyAlignment="1">
      <alignment vertical="center" wrapText="1"/>
    </xf>
    <xf numFmtId="37" fontId="8" fillId="11" borderId="12" xfId="0" applyNumberFormat="1" applyFont="1" applyFill="1" applyBorder="1" applyAlignment="1">
      <alignment vertical="center" wrapText="1"/>
    </xf>
    <xf numFmtId="39" fontId="8" fillId="11" borderId="12" xfId="0" applyNumberFormat="1" applyFont="1" applyFill="1" applyBorder="1" applyAlignment="1">
      <alignment vertical="center" wrapText="1"/>
    </xf>
    <xf numFmtId="37" fontId="64" fillId="9" borderId="17" xfId="0" applyNumberFormat="1" applyFont="1" applyFill="1" applyBorder="1" applyAlignment="1">
      <alignment horizontal="justify" vertical="center" wrapText="1"/>
    </xf>
    <xf numFmtId="37" fontId="64" fillId="9" borderId="13" xfId="0" applyNumberFormat="1" applyFont="1" applyFill="1" applyBorder="1" applyAlignment="1">
      <alignment vertical="center" wrapText="1"/>
    </xf>
    <xf numFmtId="37" fontId="64" fillId="9" borderId="19" xfId="0" applyNumberFormat="1" applyFont="1" applyFill="1" applyBorder="1" applyAlignment="1">
      <alignment vertical="center" wrapText="1"/>
    </xf>
    <xf numFmtId="37" fontId="64" fillId="9" borderId="19" xfId="0" applyNumberFormat="1" applyFont="1" applyFill="1" applyBorder="1" applyAlignment="1">
      <alignment vertical="center"/>
    </xf>
    <xf numFmtId="37" fontId="64" fillId="9" borderId="21" xfId="0" applyNumberFormat="1" applyFont="1" applyFill="1" applyBorder="1" applyAlignment="1">
      <alignment vertical="center" wrapText="1"/>
    </xf>
    <xf numFmtId="37" fontId="65" fillId="9" borderId="19" xfId="0" applyNumberFormat="1" applyFont="1" applyFill="1" applyBorder="1" applyAlignment="1">
      <alignment vertical="center" wrapText="1"/>
    </xf>
    <xf numFmtId="37" fontId="65" fillId="9" borderId="19" xfId="0" applyNumberFormat="1" applyFont="1" applyFill="1" applyBorder="1" applyAlignment="1">
      <alignment vertical="center"/>
    </xf>
    <xf numFmtId="37" fontId="65" fillId="9" borderId="21" xfId="0" applyNumberFormat="1" applyFont="1" applyFill="1" applyBorder="1" applyAlignment="1">
      <alignment vertical="center" wrapText="1"/>
    </xf>
    <xf numFmtId="37" fontId="65" fillId="9" borderId="21" xfId="0" applyNumberFormat="1" applyFont="1" applyFill="1" applyBorder="1" applyAlignment="1">
      <alignment vertical="center"/>
    </xf>
    <xf numFmtId="39" fontId="65" fillId="9" borderId="21" xfId="0" applyNumberFormat="1" applyFont="1" applyFill="1" applyBorder="1" applyAlignment="1">
      <alignment vertical="center"/>
    </xf>
    <xf numFmtId="37" fontId="64" fillId="9" borderId="2" xfId="0" applyNumberFormat="1" applyFont="1" applyFill="1" applyBorder="1" applyAlignment="1">
      <alignment vertical="center" wrapText="1"/>
    </xf>
    <xf numFmtId="37" fontId="64" fillId="9" borderId="3" xfId="0" applyNumberFormat="1" applyFont="1" applyFill="1" applyBorder="1" applyAlignment="1">
      <alignment vertical="center" wrapText="1"/>
    </xf>
    <xf numFmtId="37" fontId="64" fillId="9" borderId="4" xfId="0" applyNumberFormat="1" applyFont="1" applyFill="1" applyBorder="1" applyAlignment="1">
      <alignment vertical="center" wrapText="1"/>
    </xf>
    <xf numFmtId="37" fontId="65" fillId="9" borderId="2" xfId="0" applyNumberFormat="1" applyFont="1" applyFill="1" applyBorder="1" applyAlignment="1">
      <alignment vertical="center" wrapText="1"/>
    </xf>
    <xf numFmtId="37" fontId="65" fillId="9" borderId="3" xfId="0" applyNumberFormat="1" applyFont="1" applyFill="1" applyBorder="1" applyAlignment="1">
      <alignment vertical="center" wrapText="1"/>
    </xf>
    <xf numFmtId="37" fontId="65" fillId="9" borderId="4" xfId="0" applyNumberFormat="1" applyFont="1" applyFill="1" applyBorder="1" applyAlignment="1">
      <alignment vertical="center" wrapText="1"/>
    </xf>
    <xf numFmtId="3" fontId="8" fillId="11" borderId="11" xfId="0" applyNumberFormat="1" applyFont="1" applyFill="1" applyBorder="1" applyAlignment="1">
      <alignment vertical="center"/>
    </xf>
    <xf numFmtId="3" fontId="29" fillId="11" borderId="7" xfId="0" applyNumberFormat="1" applyFont="1" applyFill="1" applyBorder="1" applyAlignment="1">
      <alignment vertical="center" wrapText="1"/>
    </xf>
    <xf numFmtId="3" fontId="25" fillId="11" borderId="5" xfId="0" applyNumberFormat="1" applyFont="1" applyFill="1" applyBorder="1" applyAlignment="1">
      <alignment vertical="center" wrapText="1"/>
    </xf>
    <xf numFmtId="3" fontId="25" fillId="11" borderId="6" xfId="0" applyNumberFormat="1" applyFont="1" applyFill="1" applyBorder="1" applyAlignment="1">
      <alignment vertical="center" wrapText="1"/>
    </xf>
    <xf numFmtId="4" fontId="8" fillId="11" borderId="12" xfId="0" applyNumberFormat="1" applyFont="1" applyFill="1" applyBorder="1" applyAlignment="1">
      <alignment vertical="center"/>
    </xf>
    <xf numFmtId="3" fontId="8" fillId="11" borderId="12" xfId="0" applyNumberFormat="1" applyFont="1" applyFill="1" applyBorder="1" applyAlignment="1">
      <alignment vertical="center"/>
    </xf>
    <xf numFmtId="3" fontId="65" fillId="9" borderId="20" xfId="0" applyNumberFormat="1" applyFont="1" applyFill="1" applyBorder="1" applyAlignment="1">
      <alignment vertical="center" wrapText="1"/>
    </xf>
    <xf numFmtId="3" fontId="65" fillId="9" borderId="13" xfId="0" applyNumberFormat="1" applyFont="1" applyFill="1" applyBorder="1" applyAlignment="1">
      <alignment vertical="center" wrapText="1"/>
    </xf>
    <xf numFmtId="3" fontId="65" fillId="9" borderId="18" xfId="0" applyNumberFormat="1" applyFont="1" applyFill="1" applyBorder="1" applyAlignment="1">
      <alignment vertical="center" wrapText="1"/>
    </xf>
    <xf numFmtId="4" fontId="65" fillId="9" borderId="21" xfId="0" applyNumberFormat="1" applyFont="1" applyFill="1" applyBorder="1" applyAlignment="1">
      <alignment horizontal="right" vertical="center"/>
    </xf>
    <xf numFmtId="3" fontId="65" fillId="9" borderId="21" xfId="0" applyNumberFormat="1" applyFont="1" applyFill="1" applyBorder="1" applyAlignment="1">
      <alignment horizontal="right" vertical="center"/>
    </xf>
    <xf numFmtId="0" fontId="41" fillId="13" borderId="30" xfId="0" applyFont="1" applyFill="1" applyBorder="1" applyAlignment="1">
      <alignment horizontal="center" vertical="center"/>
    </xf>
    <xf numFmtId="0" fontId="41" fillId="13" borderId="33" xfId="0" applyFont="1" applyFill="1" applyBorder="1" applyAlignment="1">
      <alignment horizontal="center" vertical="center"/>
    </xf>
    <xf numFmtId="0" fontId="41" fillId="13" borderId="6" xfId="0" applyFont="1" applyFill="1" applyBorder="1" applyAlignment="1">
      <alignment horizontal="center" vertical="center"/>
    </xf>
    <xf numFmtId="0" fontId="45" fillId="9" borderId="11" xfId="0" applyFont="1" applyFill="1" applyBorder="1" applyAlignment="1">
      <alignment horizontal="center"/>
    </xf>
    <xf numFmtId="0" fontId="58" fillId="0" borderId="0" xfId="0" applyFont="1" applyAlignment="1">
      <alignment horizontal="center" vertical="center"/>
    </xf>
    <xf numFmtId="0" fontId="19" fillId="0" borderId="41" xfId="0" applyFont="1" applyBorder="1" applyAlignment="1">
      <alignment horizontal="center" vertical="center"/>
    </xf>
    <xf numFmtId="0" fontId="19" fillId="0" borderId="35" xfId="0" applyFont="1" applyBorder="1" applyAlignment="1">
      <alignment horizontal="center" vertical="center"/>
    </xf>
    <xf numFmtId="0" fontId="32" fillId="13" borderId="11" xfId="0" applyFont="1" applyFill="1" applyBorder="1" applyAlignment="1">
      <alignment horizontal="center" vertical="center" wrapText="1"/>
    </xf>
    <xf numFmtId="0" fontId="32" fillId="9" borderId="11" xfId="0" applyFont="1" applyFill="1" applyBorder="1" applyAlignment="1">
      <alignment horizontal="center" vertical="center" wrapText="1"/>
    </xf>
    <xf numFmtId="49" fontId="8" fillId="5" borderId="0" xfId="0" applyNumberFormat="1" applyFont="1" applyFill="1" applyAlignment="1">
      <alignment horizontal="center" vertical="center"/>
    </xf>
    <xf numFmtId="0" fontId="11" fillId="0" borderId="1" xfId="0" applyFont="1" applyBorder="1" applyAlignment="1">
      <alignment horizontal="left" vertical="center"/>
    </xf>
    <xf numFmtId="0" fontId="19" fillId="0" borderId="0" xfId="0" applyFont="1" applyAlignment="1">
      <alignment horizontal="center" vertical="center"/>
    </xf>
    <xf numFmtId="49" fontId="19" fillId="0" borderId="0" xfId="0" applyNumberFormat="1" applyFont="1" applyAlignment="1">
      <alignment horizontal="center" vertical="center" wrapText="1"/>
    </xf>
    <xf numFmtId="0" fontId="32" fillId="13" borderId="11" xfId="0" applyFont="1" applyFill="1" applyBorder="1" applyAlignment="1">
      <alignment horizontal="center" vertical="center"/>
    </xf>
    <xf numFmtId="0" fontId="21" fillId="0" borderId="0" xfId="0" applyFont="1" applyAlignment="1">
      <alignment horizontal="center"/>
    </xf>
    <xf numFmtId="0" fontId="32" fillId="9" borderId="30" xfId="0" applyFont="1" applyFill="1" applyBorder="1" applyAlignment="1">
      <alignment horizontal="center" vertical="center"/>
    </xf>
    <xf numFmtId="0" fontId="32" fillId="9" borderId="33" xfId="0" applyFont="1" applyFill="1" applyBorder="1" applyAlignment="1">
      <alignment horizontal="center" vertical="center"/>
    </xf>
    <xf numFmtId="0" fontId="63" fillId="9" borderId="48" xfId="0" applyFont="1" applyFill="1" applyBorder="1" applyAlignment="1">
      <alignment horizontal="center" vertical="center" wrapText="1"/>
    </xf>
    <xf numFmtId="0" fontId="63" fillId="9" borderId="52" xfId="0" applyFont="1" applyFill="1" applyBorder="1" applyAlignment="1">
      <alignment horizontal="center" vertical="center" wrapText="1"/>
    </xf>
    <xf numFmtId="0" fontId="32" fillId="9" borderId="49" xfId="0" applyFont="1" applyFill="1" applyBorder="1" applyAlignment="1">
      <alignment horizontal="center" vertical="center" wrapText="1"/>
    </xf>
    <xf numFmtId="4" fontId="32" fillId="9" borderId="49" xfId="0" applyNumberFormat="1" applyFont="1" applyFill="1" applyBorder="1" applyAlignment="1">
      <alignment horizontal="center" vertical="center" wrapText="1"/>
    </xf>
    <xf numFmtId="4" fontId="32" fillId="9" borderId="50" xfId="0" applyNumberFormat="1" applyFont="1" applyFill="1" applyBorder="1" applyAlignment="1">
      <alignment horizontal="center" vertical="center" wrapText="1"/>
    </xf>
    <xf numFmtId="0" fontId="8" fillId="0" borderId="0" xfId="0" applyFont="1" applyAlignment="1">
      <alignment horizontal="left" vertical="center" wrapText="1"/>
    </xf>
    <xf numFmtId="49" fontId="32" fillId="9" borderId="2" xfId="0" applyNumberFormat="1" applyFont="1" applyFill="1" applyBorder="1" applyAlignment="1">
      <alignment horizontal="center" vertical="center" wrapText="1"/>
    </xf>
    <xf numFmtId="49" fontId="32" fillId="9" borderId="9" xfId="0" applyNumberFormat="1" applyFont="1" applyFill="1" applyBorder="1" applyAlignment="1">
      <alignment horizontal="center" vertical="center" wrapText="1"/>
    </xf>
    <xf numFmtId="0" fontId="32" fillId="9" borderId="9" xfId="0" applyFont="1" applyFill="1" applyBorder="1" applyAlignment="1">
      <alignment horizontal="center" vertical="center" wrapText="1"/>
    </xf>
    <xf numFmtId="4" fontId="32" fillId="9" borderId="9" xfId="0" applyNumberFormat="1" applyFont="1" applyFill="1" applyBorder="1" applyAlignment="1">
      <alignment horizontal="center" vertical="center" wrapText="1"/>
    </xf>
    <xf numFmtId="4" fontId="32" fillId="9" borderId="10" xfId="0" applyNumberFormat="1" applyFont="1" applyFill="1" applyBorder="1" applyAlignment="1">
      <alignment horizontal="center" vertical="center" wrapText="1"/>
    </xf>
    <xf numFmtId="49" fontId="32" fillId="9" borderId="13" xfId="0" applyNumberFormat="1" applyFont="1" applyFill="1" applyBorder="1" applyAlignment="1">
      <alignment horizontal="center" vertical="center" wrapText="1"/>
    </xf>
    <xf numFmtId="49" fontId="32" fillId="9" borderId="19" xfId="0" applyNumberFormat="1" applyFont="1" applyFill="1" applyBorder="1" applyAlignment="1">
      <alignment horizontal="center" vertical="center" wrapText="1"/>
    </xf>
    <xf numFmtId="37" fontId="9" fillId="4" borderId="38" xfId="0" applyNumberFormat="1" applyFont="1" applyFill="1" applyBorder="1" applyAlignment="1">
      <alignment horizontal="center" vertical="center"/>
    </xf>
    <xf numFmtId="37" fontId="9" fillId="4" borderId="36" xfId="0" applyNumberFormat="1" applyFont="1" applyFill="1" applyBorder="1" applyAlignment="1">
      <alignment horizontal="center" vertical="center"/>
    </xf>
    <xf numFmtId="37" fontId="9" fillId="4" borderId="37" xfId="0" applyNumberFormat="1" applyFont="1" applyFill="1" applyBorder="1" applyAlignment="1">
      <alignment horizontal="center" vertical="center"/>
    </xf>
    <xf numFmtId="37" fontId="9" fillId="4" borderId="38" xfId="0" applyNumberFormat="1" applyFont="1" applyFill="1" applyBorder="1" applyAlignment="1">
      <alignment horizontal="center" vertical="center" wrapText="1"/>
    </xf>
    <xf numFmtId="37" fontId="32" fillId="9" borderId="38" xfId="0" applyNumberFormat="1" applyFont="1" applyFill="1" applyBorder="1" applyAlignment="1">
      <alignment horizontal="center" vertical="center" wrapText="1"/>
    </xf>
    <xf numFmtId="37" fontId="32" fillId="9" borderId="37" xfId="0" applyNumberFormat="1" applyFont="1" applyFill="1" applyBorder="1" applyAlignment="1">
      <alignment horizontal="center" vertical="center"/>
    </xf>
    <xf numFmtId="37" fontId="32" fillId="9" borderId="24" xfId="0" applyNumberFormat="1" applyFont="1" applyFill="1" applyBorder="1" applyAlignment="1">
      <alignment horizontal="center" vertical="center" wrapText="1"/>
    </xf>
    <xf numFmtId="37" fontId="32" fillId="9" borderId="25" xfId="0" applyNumberFormat="1" applyFont="1" applyFill="1" applyBorder="1" applyAlignment="1">
      <alignment horizontal="center" vertical="center" wrapText="1"/>
    </xf>
    <xf numFmtId="37" fontId="11" fillId="4" borderId="24" xfId="0" applyNumberFormat="1" applyFont="1" applyFill="1" applyBorder="1" applyAlignment="1">
      <alignment horizontal="center" vertical="center"/>
    </xf>
    <xf numFmtId="37" fontId="11" fillId="4" borderId="25" xfId="0" applyNumberFormat="1" applyFont="1" applyFill="1" applyBorder="1" applyAlignment="1">
      <alignment horizontal="center" vertical="center"/>
    </xf>
    <xf numFmtId="37" fontId="11" fillId="4" borderId="51" xfId="0" applyNumberFormat="1" applyFont="1" applyFill="1" applyBorder="1" applyAlignment="1">
      <alignment horizontal="center" vertical="center"/>
    </xf>
    <xf numFmtId="37" fontId="11" fillId="16" borderId="38" xfId="0" applyNumberFormat="1" applyFont="1" applyFill="1" applyBorder="1" applyAlignment="1">
      <alignment horizontal="center" vertical="center" wrapText="1"/>
    </xf>
    <xf numFmtId="37" fontId="11" fillId="16" borderId="37" xfId="0" applyNumberFormat="1" applyFont="1" applyFill="1" applyBorder="1" applyAlignment="1">
      <alignment horizontal="center" vertical="center"/>
    </xf>
    <xf numFmtId="37" fontId="11" fillId="0" borderId="0" xfId="0" applyNumberFormat="1" applyFont="1" applyAlignment="1">
      <alignment horizontal="center" vertical="center"/>
    </xf>
    <xf numFmtId="37" fontId="11" fillId="0" borderId="0" xfId="0" applyNumberFormat="1" applyFont="1" applyAlignment="1">
      <alignment horizontal="left" vertical="center"/>
    </xf>
    <xf numFmtId="37" fontId="11" fillId="16" borderId="24" xfId="0" applyNumberFormat="1" applyFont="1" applyFill="1" applyBorder="1" applyAlignment="1">
      <alignment horizontal="center" vertical="center" wrapText="1"/>
    </xf>
    <xf numFmtId="37" fontId="11" fillId="16" borderId="25" xfId="0" applyNumberFormat="1" applyFont="1" applyFill="1" applyBorder="1" applyAlignment="1">
      <alignment horizontal="center" vertical="center" wrapText="1"/>
    </xf>
    <xf numFmtId="37" fontId="9" fillId="4" borderId="37" xfId="0" applyNumberFormat="1" applyFont="1" applyFill="1" applyBorder="1" applyAlignment="1">
      <alignment horizontal="center" vertical="center" wrapText="1"/>
    </xf>
    <xf numFmtId="165" fontId="42" fillId="5" borderId="0" xfId="1" applyNumberFormat="1" applyFont="1" applyFill="1" applyAlignment="1">
      <alignment horizontal="center" vertical="center"/>
    </xf>
  </cellXfs>
  <cellStyles count="11">
    <cellStyle name="Millares" xfId="1" builtinId="3"/>
    <cellStyle name="Millares [0]" xfId="2" builtinId="6"/>
    <cellStyle name="Millares 2" xfId="3" xr:uid="{00000000-0005-0000-0000-000003000000}"/>
    <cellStyle name="Moneda 2" xfId="4" xr:uid="{00000000-0005-0000-0000-000006000000}"/>
    <cellStyle name="Moneda 3" xfId="5" xr:uid="{00000000-0005-0000-0000-000007000000}"/>
    <cellStyle name="Moneda 4" xfId="6" xr:uid="{00000000-0005-0000-0000-000008000000}"/>
    <cellStyle name="Nivel 1,2.3,5,6,9" xfId="7" xr:uid="{00000000-0005-0000-0000-00000A000000}"/>
    <cellStyle name="Normal" xfId="0" builtinId="0"/>
    <cellStyle name="Normal 2 2" xfId="8" xr:uid="{00000000-0005-0000-0000-00000C000000}"/>
    <cellStyle name="Porcentaje" xfId="10" builtinId="5"/>
    <cellStyle name="Porcentaje 2" xfId="9" xr:uid="{00000000-0005-0000-0000-000010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CC"/>
      <color rgb="FFFFCCCC"/>
      <color rgb="FF6699FF"/>
      <color rgb="FFCCFF99"/>
      <color rgb="FF66FFCC"/>
      <color rgb="FF0099FF"/>
      <color rgb="FF00FFFF"/>
      <color rgb="FFCCECFF"/>
      <color rgb="FFCCFFFF"/>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brozo\Documents\VIGENCIA%20ACTUAL%202025\19-03-2025%20Anteproyecto%20de%20presupuesto%20-%202026\Anteproyecto%20de%20presupuesto%20-%20FRR%202026\19-03-2025%20borrador%20Formato%20de%20anteproyecto%20de%20presupuesto%20%20FRR%20-%202026.xlsx" TargetMode="External"/><Relationship Id="rId1" Type="http://schemas.openxmlformats.org/officeDocument/2006/relationships/externalLinkPath" Target="/Users/brozo/Documents/VIGENCIA%20ACTUAL%202025/19-03-2025%20Anteproyecto%20de%20presupuesto%20-%202026/Anteproyecto%20de%20presupuesto%20-%20FRR%202026/19-03-2025%20borrador%20Formato%20de%20anteproyecto%20de%20presupuesto%20%20FRR%20-%20202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propiación presupuestal 2025"/>
      <sheetName val="FORMULARIO 2 GASTOS"/>
      <sheetName val="Proyectos de inversión 2026"/>
      <sheetName val="FORMULARIO 1.1  INGRESOS"/>
      <sheetName val="FORMULARIO 1.1 A INGRESOS"/>
      <sheetName val="PGFt02 Compra de equipos"/>
      <sheetName val="PGFT03 Materiales y sum "/>
      <sheetName val="Mat y sum 2026"/>
      <sheetName val="PGFT05 Mantenimiento"/>
      <sheetName val="PGFT06 Impresos y públicaciones"/>
      <sheetName val="PGFT07 Arrendamientos"/>
      <sheetName val="PGFT08 Seguros"/>
      <sheetName val="PGFT09 Comunicaciones y transpo"/>
      <sheetName val="Otros Imptos, vigilancia"/>
      <sheetName val="Caja menor"/>
      <sheetName val="PRENSA"/>
      <sheetName val="Impresos y publi RC N,M,D"/>
      <sheetName val="JURIDICA"/>
      <sheetName val="Kactus Informática"/>
    </sheetNames>
    <sheetDataSet>
      <sheetData sheetId="0">
        <row r="160">
          <cell r="L160">
            <v>171718456809</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persons/person.xml><?xml version="1.0" encoding="utf-8"?>
<personList xmlns="http://schemas.microsoft.com/office/spreadsheetml/2018/threadedcomments" xmlns:x="http://schemas.openxmlformats.org/spreadsheetml/2006/main">
  <person displayName="Balvina Rozo Millan" id="{D9892971-C1C5-4A3E-A34B-CD0CF9941413}" userId="S::brozo@registraduria.gov.co::412f6386-9879-409b-8e9c-6ba74db924be"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F19" dT="2025-03-19T13:29:20.05" personId="{D9892971-C1C5-4A3E-A34B-CD0CF9941413}" id="{A4A90FDC-2D29-48A9-AE5B-B7A535E36D52}">
    <text xml:space="preserve">Duplicados y rectificaciones de la cédula de ciudadanía amarilla con hologramas: El estimado por la Registraduría Delegada para el Registro Civil y la Identificación es de 506.832 y se deja esa cantidad; debido a que se espera que con la masificación de la cédula digital, se reduzca la expedición de los duplicados de la cédula amarilla con hologramas. Igualmente, teniendo en cuenta que el promedio de la producción de los últimos tres años es de 720.653: Año 2022: 1.086.817; Año 2023: 536.409 y año 2024: 538.733 (el promedio correspondiente a:duplicados y rectificaciones).
</text>
  </threadedComment>
</ThreadedComments>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499984740745262"/>
  </sheetPr>
  <dimension ref="B1:U164"/>
  <sheetViews>
    <sheetView topLeftCell="A150" workbookViewId="0">
      <selection activeCell="L174" sqref="L174"/>
    </sheetView>
  </sheetViews>
  <sheetFormatPr baseColWidth="10" defaultRowHeight="15" x14ac:dyDescent="0.25"/>
  <cols>
    <col min="1" max="1" width="4.42578125" customWidth="1"/>
    <col min="2" max="2" width="2.5703125" style="378" bestFit="1" customWidth="1"/>
    <col min="3" max="3" width="5.7109375" bestFit="1" customWidth="1"/>
    <col min="4" max="4" width="6.7109375" bestFit="1" customWidth="1"/>
    <col min="5" max="5" width="10.5703125" bestFit="1" customWidth="1"/>
    <col min="6" max="7" width="8" bestFit="1" customWidth="1"/>
    <col min="8" max="8" width="2.7109375" bestFit="1" customWidth="1"/>
    <col min="9" max="9" width="3.85546875" bestFit="1" customWidth="1"/>
    <col min="10" max="10" width="3.85546875" customWidth="1"/>
    <col min="11" max="11" width="54.42578125" style="268" customWidth="1"/>
    <col min="12" max="12" width="30.5703125" style="464" customWidth="1"/>
    <col min="13" max="13" width="27.28515625" style="379" hidden="1" customWidth="1"/>
    <col min="14" max="14" width="16.42578125" style="377" hidden="1" customWidth="1"/>
  </cols>
  <sheetData>
    <row r="1" spans="2:14" ht="25.5" x14ac:dyDescent="0.35">
      <c r="B1" s="656" t="s">
        <v>335</v>
      </c>
      <c r="C1" s="656"/>
      <c r="D1" s="656"/>
      <c r="E1" s="656"/>
      <c r="F1" s="656"/>
      <c r="G1" s="656"/>
      <c r="H1" s="656"/>
      <c r="I1" s="656"/>
      <c r="J1" s="656"/>
      <c r="K1" s="656"/>
      <c r="L1" s="656"/>
      <c r="M1" s="656"/>
      <c r="N1" s="316"/>
    </row>
    <row r="2" spans="2:14" x14ac:dyDescent="0.25">
      <c r="B2" s="317" t="s">
        <v>0</v>
      </c>
      <c r="C2" s="317" t="s">
        <v>52</v>
      </c>
      <c r="D2" s="317" t="s">
        <v>53</v>
      </c>
      <c r="E2" s="317" t="s">
        <v>54</v>
      </c>
      <c r="F2" s="317" t="s">
        <v>55</v>
      </c>
      <c r="G2" s="317" t="s">
        <v>2</v>
      </c>
      <c r="H2" s="317" t="s">
        <v>3</v>
      </c>
      <c r="I2" s="317" t="s">
        <v>4</v>
      </c>
      <c r="J2" s="317" t="s">
        <v>336</v>
      </c>
      <c r="K2" s="318" t="s">
        <v>5</v>
      </c>
      <c r="L2" s="450" t="s">
        <v>51</v>
      </c>
      <c r="M2" s="319" t="s">
        <v>51</v>
      </c>
      <c r="N2" s="320"/>
    </row>
    <row r="3" spans="2:14" x14ac:dyDescent="0.25">
      <c r="B3" s="281" t="s">
        <v>6</v>
      </c>
      <c r="C3" s="282" t="s">
        <v>17</v>
      </c>
      <c r="D3" s="282"/>
      <c r="E3" s="282"/>
      <c r="F3" s="282"/>
      <c r="G3" s="282"/>
      <c r="H3" s="282"/>
      <c r="I3" s="282"/>
      <c r="J3" s="282" t="s">
        <v>201</v>
      </c>
      <c r="K3" s="283" t="s">
        <v>19</v>
      </c>
      <c r="L3" s="451">
        <f>+L4+L12</f>
        <v>70000000000</v>
      </c>
      <c r="M3" s="284">
        <f>+M4+M12</f>
        <v>58144573227</v>
      </c>
      <c r="N3" s="321"/>
    </row>
    <row r="4" spans="2:14" x14ac:dyDescent="0.25">
      <c r="B4" s="281" t="s">
        <v>6</v>
      </c>
      <c r="C4" s="282" t="s">
        <v>17</v>
      </c>
      <c r="D4" s="282" t="s">
        <v>7</v>
      </c>
      <c r="E4" s="282"/>
      <c r="F4" s="282"/>
      <c r="G4" s="282"/>
      <c r="H4" s="282"/>
      <c r="I4" s="282"/>
      <c r="J4" s="282"/>
      <c r="K4" s="283" t="s">
        <v>236</v>
      </c>
      <c r="L4" s="451">
        <f>+L5</f>
        <v>236694000</v>
      </c>
      <c r="M4" s="284">
        <f>+M5</f>
        <v>245762416</v>
      </c>
      <c r="N4" s="321"/>
    </row>
    <row r="5" spans="2:14" x14ac:dyDescent="0.25">
      <c r="B5" s="281" t="s">
        <v>6</v>
      </c>
      <c r="C5" s="282" t="s">
        <v>17</v>
      </c>
      <c r="D5" s="282" t="s">
        <v>7</v>
      </c>
      <c r="E5" s="282" t="s">
        <v>7</v>
      </c>
      <c r="F5" s="282"/>
      <c r="G5" s="282"/>
      <c r="H5" s="282"/>
      <c r="I5" s="282"/>
      <c r="J5" s="282"/>
      <c r="K5" s="283" t="s">
        <v>68</v>
      </c>
      <c r="L5" s="451">
        <f>+L6+L8</f>
        <v>236694000</v>
      </c>
      <c r="M5" s="284">
        <f>+M6+M8</f>
        <v>245762416</v>
      </c>
      <c r="N5" s="321"/>
    </row>
    <row r="6" spans="2:14" x14ac:dyDescent="0.25">
      <c r="B6" s="285" t="s">
        <v>6</v>
      </c>
      <c r="C6" s="286" t="s">
        <v>17</v>
      </c>
      <c r="D6" s="286" t="s">
        <v>7</v>
      </c>
      <c r="E6" s="286" t="s">
        <v>7</v>
      </c>
      <c r="F6" s="286" t="s">
        <v>10</v>
      </c>
      <c r="G6" s="286"/>
      <c r="H6" s="286"/>
      <c r="I6" s="286"/>
      <c r="J6" s="286"/>
      <c r="K6" s="287" t="s">
        <v>237</v>
      </c>
      <c r="L6" s="452">
        <f>+L7</f>
        <v>10300000</v>
      </c>
      <c r="M6" s="288">
        <f>+M7</f>
        <v>10000000</v>
      </c>
      <c r="N6" s="322"/>
    </row>
    <row r="7" spans="2:14" s="327" customFormat="1" ht="13.5" x14ac:dyDescent="0.2">
      <c r="B7" s="323" t="s">
        <v>6</v>
      </c>
      <c r="C7" s="323" t="s">
        <v>17</v>
      </c>
      <c r="D7" s="323" t="s">
        <v>7</v>
      </c>
      <c r="E7" s="323" t="s">
        <v>7</v>
      </c>
      <c r="F7" s="323" t="s">
        <v>10</v>
      </c>
      <c r="G7" s="323" t="s">
        <v>15</v>
      </c>
      <c r="H7" s="323"/>
      <c r="I7" s="323"/>
      <c r="J7" s="323"/>
      <c r="K7" s="324" t="s">
        <v>188</v>
      </c>
      <c r="L7" s="453">
        <v>10300000</v>
      </c>
      <c r="M7" s="325">
        <f>10000000</f>
        <v>10000000</v>
      </c>
      <c r="N7" s="326">
        <f>+M8-N8</f>
        <v>34351278</v>
      </c>
    </row>
    <row r="8" spans="2:14" x14ac:dyDescent="0.25">
      <c r="B8" s="285" t="s">
        <v>6</v>
      </c>
      <c r="C8" s="286" t="s">
        <v>17</v>
      </c>
      <c r="D8" s="286" t="s">
        <v>7</v>
      </c>
      <c r="E8" s="286" t="s">
        <v>7</v>
      </c>
      <c r="F8" s="286" t="s">
        <v>11</v>
      </c>
      <c r="G8" s="286"/>
      <c r="H8" s="286"/>
      <c r="I8" s="286"/>
      <c r="J8" s="286"/>
      <c r="K8" s="287" t="s">
        <v>189</v>
      </c>
      <c r="L8" s="452">
        <f>+L9+L10+L11</f>
        <v>226394000</v>
      </c>
      <c r="M8" s="288">
        <f>+M9+M10+M11</f>
        <v>235762416</v>
      </c>
      <c r="N8" s="322">
        <v>201411138</v>
      </c>
    </row>
    <row r="9" spans="2:14" s="327" customFormat="1" ht="13.5" x14ac:dyDescent="0.2">
      <c r="B9" s="323" t="s">
        <v>6</v>
      </c>
      <c r="C9" s="323" t="s">
        <v>17</v>
      </c>
      <c r="D9" s="323" t="s">
        <v>7</v>
      </c>
      <c r="E9" s="323" t="s">
        <v>7</v>
      </c>
      <c r="F9" s="323" t="s">
        <v>11</v>
      </c>
      <c r="G9" s="323" t="s">
        <v>12</v>
      </c>
      <c r="H9" s="323"/>
      <c r="I9" s="323"/>
      <c r="J9" s="323"/>
      <c r="K9" s="324" t="s">
        <v>190</v>
      </c>
      <c r="L9" s="453">
        <f>109901000 +9991000+20600000</f>
        <v>140492000</v>
      </c>
      <c r="M9" s="328">
        <f>85513367 +42756684+20000000</f>
        <v>148270051</v>
      </c>
      <c r="N9" s="326">
        <f>+L9-M9</f>
        <v>-7778051</v>
      </c>
    </row>
    <row r="10" spans="2:14" s="327" customFormat="1" ht="13.5" x14ac:dyDescent="0.2">
      <c r="B10" s="323" t="s">
        <v>6</v>
      </c>
      <c r="C10" s="323" t="s">
        <v>17</v>
      </c>
      <c r="D10" s="323" t="s">
        <v>7</v>
      </c>
      <c r="E10" s="323" t="s">
        <v>7</v>
      </c>
      <c r="F10" s="323" t="s">
        <v>11</v>
      </c>
      <c r="G10" s="323" t="s">
        <v>13</v>
      </c>
      <c r="H10" s="323"/>
      <c r="I10" s="323"/>
      <c r="J10" s="323"/>
      <c r="K10" s="324" t="s">
        <v>191</v>
      </c>
      <c r="L10" s="453">
        <f>10763500+978500</f>
        <v>11742000</v>
      </c>
      <c r="M10" s="328">
        <f>8888243+4444122</f>
        <v>13332365</v>
      </c>
      <c r="N10" s="326">
        <f>+L10-M10</f>
        <v>-1590365</v>
      </c>
    </row>
    <row r="11" spans="2:14" s="327" customFormat="1" ht="27" customHeight="1" x14ac:dyDescent="0.2">
      <c r="B11" s="323" t="s">
        <v>6</v>
      </c>
      <c r="C11" s="323" t="s">
        <v>17</v>
      </c>
      <c r="D11" s="323" t="s">
        <v>7</v>
      </c>
      <c r="E11" s="323" t="s">
        <v>7</v>
      </c>
      <c r="F11" s="323" t="s">
        <v>11</v>
      </c>
      <c r="G11" s="323" t="s">
        <v>14</v>
      </c>
      <c r="H11" s="323"/>
      <c r="I11" s="323"/>
      <c r="J11" s="323"/>
      <c r="K11" s="324" t="s">
        <v>192</v>
      </c>
      <c r="L11" s="453">
        <f>67980000+6180000</f>
        <v>74160000</v>
      </c>
      <c r="M11" s="328">
        <f>67980000+6180000</f>
        <v>74160000</v>
      </c>
      <c r="N11" s="326">
        <f>+L11-M11</f>
        <v>0</v>
      </c>
    </row>
    <row r="12" spans="2:14" x14ac:dyDescent="0.25">
      <c r="B12" s="281" t="s">
        <v>6</v>
      </c>
      <c r="C12" s="282" t="s">
        <v>17</v>
      </c>
      <c r="D12" s="282" t="s">
        <v>17</v>
      </c>
      <c r="E12" s="282"/>
      <c r="F12" s="282"/>
      <c r="G12" s="282"/>
      <c r="H12" s="282"/>
      <c r="I12" s="282"/>
      <c r="J12" s="282"/>
      <c r="K12" s="283" t="s">
        <v>20</v>
      </c>
      <c r="L12" s="451">
        <f>+L13+L30</f>
        <v>69763306000</v>
      </c>
      <c r="M12" s="284">
        <f>+M13+M30</f>
        <v>57898810811</v>
      </c>
      <c r="N12" s="321"/>
    </row>
    <row r="13" spans="2:14" x14ac:dyDescent="0.25">
      <c r="B13" s="281" t="s">
        <v>6</v>
      </c>
      <c r="C13" s="282" t="s">
        <v>17</v>
      </c>
      <c r="D13" s="282" t="s">
        <v>17</v>
      </c>
      <c r="E13" s="282" t="s">
        <v>7</v>
      </c>
      <c r="F13" s="282"/>
      <c r="G13" s="282"/>
      <c r="H13" s="282"/>
      <c r="I13" s="282"/>
      <c r="J13" s="282"/>
      <c r="K13" s="283" t="s">
        <v>21</v>
      </c>
      <c r="L13" s="451">
        <f>L17+L14+L26</f>
        <v>8857511531</v>
      </c>
      <c r="M13" s="284">
        <f>M17+M14+M26</f>
        <v>8432969296</v>
      </c>
      <c r="N13" s="321"/>
    </row>
    <row r="14" spans="2:14" ht="25.5" x14ac:dyDescent="0.25">
      <c r="B14" s="285" t="s">
        <v>6</v>
      </c>
      <c r="C14" s="286" t="s">
        <v>17</v>
      </c>
      <c r="D14" s="286" t="s">
        <v>17</v>
      </c>
      <c r="E14" s="286" t="s">
        <v>7</v>
      </c>
      <c r="F14" s="286" t="s">
        <v>9</v>
      </c>
      <c r="G14" s="286"/>
      <c r="H14" s="286"/>
      <c r="I14" s="286"/>
      <c r="J14" s="286"/>
      <c r="K14" s="287" t="s">
        <v>22</v>
      </c>
      <c r="L14" s="452">
        <f>+L15+L16</f>
        <v>706613400</v>
      </c>
      <c r="M14" s="288">
        <f>+M15+M16</f>
        <v>210265457</v>
      </c>
      <c r="N14" s="322"/>
    </row>
    <row r="15" spans="2:14" s="327" customFormat="1" ht="27" x14ac:dyDescent="0.2">
      <c r="B15" s="323" t="s">
        <v>6</v>
      </c>
      <c r="C15" s="323" t="s">
        <v>17</v>
      </c>
      <c r="D15" s="323" t="s">
        <v>17</v>
      </c>
      <c r="E15" s="323" t="s">
        <v>7</v>
      </c>
      <c r="F15" s="323" t="s">
        <v>9</v>
      </c>
      <c r="G15" s="323" t="s">
        <v>10</v>
      </c>
      <c r="H15" s="323"/>
      <c r="I15" s="323"/>
      <c r="J15" s="323"/>
      <c r="K15" s="324" t="s">
        <v>146</v>
      </c>
      <c r="L15" s="453">
        <f>586894000+53354000</f>
        <v>640248000</v>
      </c>
      <c r="M15" s="328">
        <f>120176971+60088486</f>
        <v>180265457</v>
      </c>
      <c r="N15" s="326">
        <f>+L15-M15</f>
        <v>459982543</v>
      </c>
    </row>
    <row r="16" spans="2:14" s="327" customFormat="1" ht="36" customHeight="1" x14ac:dyDescent="0.2">
      <c r="B16" s="323" t="s">
        <v>6</v>
      </c>
      <c r="C16" s="323" t="s">
        <v>17</v>
      </c>
      <c r="D16" s="323" t="s">
        <v>17</v>
      </c>
      <c r="E16" s="323" t="s">
        <v>7</v>
      </c>
      <c r="F16" s="323" t="s">
        <v>9</v>
      </c>
      <c r="G16" s="323" t="s">
        <v>14</v>
      </c>
      <c r="H16" s="323"/>
      <c r="I16" s="323"/>
      <c r="J16" s="323"/>
      <c r="K16" s="324" t="s">
        <v>145</v>
      </c>
      <c r="L16" s="453">
        <f>60000000+6365400</f>
        <v>66365400</v>
      </c>
      <c r="M16" s="328">
        <v>30000000</v>
      </c>
      <c r="N16" s="326"/>
    </row>
    <row r="17" spans="2:14" ht="25.5" x14ac:dyDescent="0.25">
      <c r="B17" s="285" t="s">
        <v>6</v>
      </c>
      <c r="C17" s="286" t="s">
        <v>17</v>
      </c>
      <c r="D17" s="286" t="s">
        <v>17</v>
      </c>
      <c r="E17" s="286" t="s">
        <v>7</v>
      </c>
      <c r="F17" s="286" t="s">
        <v>10</v>
      </c>
      <c r="G17" s="286"/>
      <c r="H17" s="286"/>
      <c r="I17" s="286"/>
      <c r="J17" s="286"/>
      <c r="K17" s="287" t="s">
        <v>23</v>
      </c>
      <c r="L17" s="452">
        <f>+SUM(L18:L25)</f>
        <v>8070478819</v>
      </c>
      <c r="M17" s="288">
        <f>+SUM(M18:M25)</f>
        <v>8069040779</v>
      </c>
      <c r="N17" s="322"/>
    </row>
    <row r="18" spans="2:14" s="327" customFormat="1" ht="13.5" x14ac:dyDescent="0.2">
      <c r="B18" s="323" t="s">
        <v>6</v>
      </c>
      <c r="C18" s="323" t="s">
        <v>17</v>
      </c>
      <c r="D18" s="323" t="s">
        <v>17</v>
      </c>
      <c r="E18" s="323" t="s">
        <v>7</v>
      </c>
      <c r="F18" s="323" t="s">
        <v>10</v>
      </c>
      <c r="G18" s="323" t="s">
        <v>8</v>
      </c>
      <c r="H18" s="323"/>
      <c r="I18" s="323"/>
      <c r="J18" s="323"/>
      <c r="K18" s="324" t="s">
        <v>193</v>
      </c>
      <c r="L18" s="453">
        <f>35689500+3244500</f>
        <v>38934000</v>
      </c>
      <c r="M18" s="328">
        <f>27336888+13668444</f>
        <v>41005332</v>
      </c>
      <c r="N18" s="326">
        <f t="shared" ref="N18:N24" si="0">+L18-M18</f>
        <v>-2071332</v>
      </c>
    </row>
    <row r="19" spans="2:14" s="327" customFormat="1" ht="13.5" x14ac:dyDescent="0.2">
      <c r="B19" s="323" t="s">
        <v>6</v>
      </c>
      <c r="C19" s="323" t="s">
        <v>17</v>
      </c>
      <c r="D19" s="323" t="s">
        <v>17</v>
      </c>
      <c r="E19" s="323" t="s">
        <v>7</v>
      </c>
      <c r="F19" s="323" t="s">
        <v>10</v>
      </c>
      <c r="G19" s="323" t="s">
        <v>9</v>
      </c>
      <c r="H19" s="323"/>
      <c r="I19" s="323"/>
      <c r="J19" s="323"/>
      <c r="K19" s="324" t="s">
        <v>24</v>
      </c>
      <c r="L19" s="453">
        <f>1466102000+133282000</f>
        <v>1599384000</v>
      </c>
      <c r="M19" s="328">
        <f>1091427553+545713777</f>
        <v>1637141330</v>
      </c>
      <c r="N19" s="326">
        <f t="shared" si="0"/>
        <v>-37757330</v>
      </c>
    </row>
    <row r="20" spans="2:14" s="327" customFormat="1" ht="27" x14ac:dyDescent="0.2">
      <c r="B20" s="323" t="s">
        <v>6</v>
      </c>
      <c r="C20" s="323" t="s">
        <v>17</v>
      </c>
      <c r="D20" s="323" t="s">
        <v>17</v>
      </c>
      <c r="E20" s="323" t="s">
        <v>7</v>
      </c>
      <c r="F20" s="323" t="s">
        <v>10</v>
      </c>
      <c r="G20" s="323" t="s">
        <v>10</v>
      </c>
      <c r="H20" s="323"/>
      <c r="I20" s="323"/>
      <c r="J20" s="323"/>
      <c r="K20" s="324" t="s">
        <v>25</v>
      </c>
      <c r="L20" s="453">
        <f>188761787+511550713</f>
        <v>700312500</v>
      </c>
      <c r="M20" s="329">
        <v>671990482</v>
      </c>
      <c r="N20" s="326">
        <f t="shared" si="0"/>
        <v>28322018</v>
      </c>
    </row>
    <row r="21" spans="2:14" s="327" customFormat="1" ht="13.5" x14ac:dyDescent="0.2">
      <c r="B21" s="323" t="s">
        <v>6</v>
      </c>
      <c r="C21" s="323" t="s">
        <v>17</v>
      </c>
      <c r="D21" s="323" t="s">
        <v>17</v>
      </c>
      <c r="E21" s="323" t="s">
        <v>7</v>
      </c>
      <c r="F21" s="323" t="s">
        <v>10</v>
      </c>
      <c r="G21" s="323" t="s">
        <v>11</v>
      </c>
      <c r="H21" s="323"/>
      <c r="I21" s="323"/>
      <c r="J21" s="323"/>
      <c r="K21" s="324" t="s">
        <v>238</v>
      </c>
      <c r="L21" s="453">
        <f>192610000+17510000</f>
        <v>210120000</v>
      </c>
      <c r="M21" s="328">
        <f>166699882+83349941</f>
        <v>250049823</v>
      </c>
      <c r="N21" s="326">
        <f t="shared" si="0"/>
        <v>-39929823</v>
      </c>
    </row>
    <row r="22" spans="2:14" s="327" customFormat="1" ht="13.5" x14ac:dyDescent="0.2">
      <c r="B22" s="323" t="s">
        <v>6</v>
      </c>
      <c r="C22" s="323" t="s">
        <v>17</v>
      </c>
      <c r="D22" s="323" t="s">
        <v>17</v>
      </c>
      <c r="E22" s="323" t="s">
        <v>7</v>
      </c>
      <c r="F22" s="323" t="s">
        <v>10</v>
      </c>
      <c r="G22" s="323" t="s">
        <v>12</v>
      </c>
      <c r="H22" s="323"/>
      <c r="I22" s="323"/>
      <c r="J22" s="323"/>
      <c r="K22" s="324" t="s">
        <v>239</v>
      </c>
      <c r="L22" s="453">
        <f>3275503000+297773000</f>
        <v>3573276000</v>
      </c>
      <c r="M22" s="328">
        <f>2422546300+1211273150</f>
        <v>3633819450</v>
      </c>
      <c r="N22" s="326">
        <f t="shared" si="0"/>
        <v>-60543450</v>
      </c>
    </row>
    <row r="23" spans="2:14" s="327" customFormat="1" ht="13.5" x14ac:dyDescent="0.2">
      <c r="B23" s="323" t="s">
        <v>6</v>
      </c>
      <c r="C23" s="323" t="s">
        <v>17</v>
      </c>
      <c r="D23" s="323" t="s">
        <v>17</v>
      </c>
      <c r="E23" s="323" t="s">
        <v>7</v>
      </c>
      <c r="F23" s="323" t="s">
        <v>10</v>
      </c>
      <c r="G23" s="323" t="s">
        <v>13</v>
      </c>
      <c r="H23" s="323"/>
      <c r="I23" s="323"/>
      <c r="J23" s="323"/>
      <c r="K23" s="324" t="s">
        <v>240</v>
      </c>
      <c r="L23" s="453">
        <f>1574870000+143170000</f>
        <v>1718040000</v>
      </c>
      <c r="M23" s="328">
        <f>1131060546+565530273</f>
        <v>1696590819</v>
      </c>
      <c r="N23" s="326">
        <f t="shared" si="0"/>
        <v>21449181</v>
      </c>
    </row>
    <row r="24" spans="2:14" s="327" customFormat="1" ht="13.5" x14ac:dyDescent="0.2">
      <c r="B24" s="323" t="s">
        <v>6</v>
      </c>
      <c r="C24" s="323" t="s">
        <v>17</v>
      </c>
      <c r="D24" s="323" t="s">
        <v>17</v>
      </c>
      <c r="E24" s="323" t="s">
        <v>7</v>
      </c>
      <c r="F24" s="323" t="s">
        <v>10</v>
      </c>
      <c r="G24" s="323" t="s">
        <v>14</v>
      </c>
      <c r="H24" s="323"/>
      <c r="I24" s="323"/>
      <c r="J24" s="323"/>
      <c r="K24" s="324" t="s">
        <v>196</v>
      </c>
      <c r="L24" s="453">
        <f>3837000+348819</f>
        <v>4185819</v>
      </c>
      <c r="M24" s="328">
        <f>3248362+1624181</f>
        <v>4872543</v>
      </c>
      <c r="N24" s="326">
        <f t="shared" si="0"/>
        <v>-686724</v>
      </c>
    </row>
    <row r="25" spans="2:14" s="327" customFormat="1" ht="39" customHeight="1" x14ac:dyDescent="0.2">
      <c r="B25" s="323" t="s">
        <v>6</v>
      </c>
      <c r="C25" s="323" t="s">
        <v>17</v>
      </c>
      <c r="D25" s="323" t="s">
        <v>17</v>
      </c>
      <c r="E25" s="323" t="s">
        <v>7</v>
      </c>
      <c r="F25" s="323" t="s">
        <v>10</v>
      </c>
      <c r="G25" s="323" t="s">
        <v>15</v>
      </c>
      <c r="H25" s="323"/>
      <c r="I25" s="323"/>
      <c r="J25" s="323"/>
      <c r="K25" s="324" t="s">
        <v>197</v>
      </c>
      <c r="L25" s="453">
        <f>100000000+54126500+72100000</f>
        <v>226226500</v>
      </c>
      <c r="M25" s="328">
        <f>11021000+52550000+70000000</f>
        <v>133571000</v>
      </c>
      <c r="N25" s="326"/>
    </row>
    <row r="26" spans="2:14" ht="25.5" x14ac:dyDescent="0.25">
      <c r="B26" s="285" t="s">
        <v>6</v>
      </c>
      <c r="C26" s="286" t="s">
        <v>17</v>
      </c>
      <c r="D26" s="286" t="s">
        <v>17</v>
      </c>
      <c r="E26" s="286" t="s">
        <v>7</v>
      </c>
      <c r="F26" s="286" t="s">
        <v>11</v>
      </c>
      <c r="G26" s="286"/>
      <c r="H26" s="286"/>
      <c r="I26" s="286"/>
      <c r="J26" s="286"/>
      <c r="K26" s="287" t="s">
        <v>241</v>
      </c>
      <c r="L26" s="452">
        <f>+L27+L28+L29</f>
        <v>80419312</v>
      </c>
      <c r="M26" s="288">
        <f>+M27+M28+M29</f>
        <v>153663060</v>
      </c>
      <c r="N26" s="322"/>
    </row>
    <row r="27" spans="2:14" s="327" customFormat="1" ht="13.5" x14ac:dyDescent="0.2">
      <c r="B27" s="323" t="s">
        <v>6</v>
      </c>
      <c r="C27" s="323" t="s">
        <v>17</v>
      </c>
      <c r="D27" s="323" t="s">
        <v>17</v>
      </c>
      <c r="E27" s="323" t="s">
        <v>7</v>
      </c>
      <c r="F27" s="323" t="s">
        <v>11</v>
      </c>
      <c r="G27" s="323" t="s">
        <v>9</v>
      </c>
      <c r="H27" s="323"/>
      <c r="I27" s="323"/>
      <c r="J27" s="323"/>
      <c r="K27" s="324" t="s">
        <v>198</v>
      </c>
      <c r="L27" s="453">
        <f>36256000+3296001</f>
        <v>39552001</v>
      </c>
      <c r="M27" s="328">
        <f>67503979+33751990</f>
        <v>101255969</v>
      </c>
      <c r="N27" s="326">
        <f>+L27-M27</f>
        <v>-61703968</v>
      </c>
    </row>
    <row r="28" spans="2:14" s="327" customFormat="1" ht="13.5" x14ac:dyDescent="0.2">
      <c r="B28" s="323" t="s">
        <v>6</v>
      </c>
      <c r="C28" s="323" t="s">
        <v>17</v>
      </c>
      <c r="D28" s="323" t="s">
        <v>17</v>
      </c>
      <c r="E28" s="323" t="s">
        <v>7</v>
      </c>
      <c r="F28" s="323" t="s">
        <v>11</v>
      </c>
      <c r="G28" s="323" t="s">
        <v>13</v>
      </c>
      <c r="H28" s="323"/>
      <c r="I28" s="323"/>
      <c r="J28" s="323"/>
      <c r="K28" s="324" t="s">
        <v>191</v>
      </c>
      <c r="L28" s="453">
        <f>31724000+2884001</f>
        <v>34608001</v>
      </c>
      <c r="M28" s="328">
        <f>30886727+15443364</f>
        <v>46330091</v>
      </c>
      <c r="N28" s="326">
        <f>+L28-M28</f>
        <v>-11722090</v>
      </c>
    </row>
    <row r="29" spans="2:14" s="327" customFormat="1" ht="13.5" x14ac:dyDescent="0.2">
      <c r="B29" s="323" t="s">
        <v>6</v>
      </c>
      <c r="C29" s="323" t="s">
        <v>17</v>
      </c>
      <c r="D29" s="323" t="s">
        <v>17</v>
      </c>
      <c r="E29" s="323" t="s">
        <v>7</v>
      </c>
      <c r="F29" s="323" t="s">
        <v>11</v>
      </c>
      <c r="G29" s="323" t="s">
        <v>14</v>
      </c>
      <c r="H29" s="323"/>
      <c r="I29" s="323"/>
      <c r="J29" s="323"/>
      <c r="K29" s="324" t="s">
        <v>209</v>
      </c>
      <c r="L29" s="453">
        <v>6259310</v>
      </c>
      <c r="M29" s="328">
        <v>6077000</v>
      </c>
      <c r="N29" s="326"/>
    </row>
    <row r="30" spans="2:14" x14ac:dyDescent="0.25">
      <c r="B30" s="281" t="s">
        <v>6</v>
      </c>
      <c r="C30" s="282" t="s">
        <v>17</v>
      </c>
      <c r="D30" s="282" t="s">
        <v>17</v>
      </c>
      <c r="E30" s="282" t="s">
        <v>17</v>
      </c>
      <c r="F30" s="282"/>
      <c r="G30" s="282"/>
      <c r="H30" s="282"/>
      <c r="I30" s="282"/>
      <c r="J30" s="282"/>
      <c r="K30" s="283" t="s">
        <v>26</v>
      </c>
      <c r="L30" s="451">
        <f>+L31+L33+L38+L41</f>
        <v>60905794469</v>
      </c>
      <c r="M30" s="284">
        <f>+M31+M33+M38+M41</f>
        <v>49465841515</v>
      </c>
      <c r="N30" s="321"/>
    </row>
    <row r="31" spans="2:14" x14ac:dyDescent="0.25">
      <c r="B31" s="285" t="s">
        <v>6</v>
      </c>
      <c r="C31" s="286" t="s">
        <v>17</v>
      </c>
      <c r="D31" s="286" t="s">
        <v>17</v>
      </c>
      <c r="E31" s="286" t="s">
        <v>17</v>
      </c>
      <c r="F31" s="286" t="s">
        <v>12</v>
      </c>
      <c r="G31" s="286"/>
      <c r="H31" s="286"/>
      <c r="I31" s="286"/>
      <c r="J31" s="286"/>
      <c r="K31" s="287" t="s">
        <v>27</v>
      </c>
      <c r="L31" s="452">
        <f>+L32</f>
        <v>1035439184</v>
      </c>
      <c r="M31" s="288">
        <f>+M32</f>
        <v>430868400</v>
      </c>
      <c r="N31" s="322"/>
    </row>
    <row r="32" spans="2:14" s="327" customFormat="1" ht="13.5" x14ac:dyDescent="0.2">
      <c r="B32" s="323" t="s">
        <v>6</v>
      </c>
      <c r="C32" s="323" t="s">
        <v>17</v>
      </c>
      <c r="D32" s="323" t="s">
        <v>17</v>
      </c>
      <c r="E32" s="323" t="s">
        <v>17</v>
      </c>
      <c r="F32" s="323" t="s">
        <v>12</v>
      </c>
      <c r="G32" s="323" t="s">
        <v>11</v>
      </c>
      <c r="H32" s="323"/>
      <c r="I32" s="323"/>
      <c r="J32" s="323"/>
      <c r="K32" s="324" t="s">
        <v>242</v>
      </c>
      <c r="L32" s="453">
        <f>10825300+50000000+500000000+94000000+5107464+22104768+312201652+41200000</f>
        <v>1035439184</v>
      </c>
      <c r="M32" s="325">
        <f>10510000+77250000+303108400+40000000</f>
        <v>430868400</v>
      </c>
      <c r="N32" s="326"/>
    </row>
    <row r="33" spans="2:14" ht="38.25" x14ac:dyDescent="0.25">
      <c r="B33" s="285" t="s">
        <v>6</v>
      </c>
      <c r="C33" s="286" t="s">
        <v>17</v>
      </c>
      <c r="D33" s="286" t="s">
        <v>17</v>
      </c>
      <c r="E33" s="286" t="s">
        <v>17</v>
      </c>
      <c r="F33" s="286" t="s">
        <v>13</v>
      </c>
      <c r="G33" s="286"/>
      <c r="H33" s="286"/>
      <c r="I33" s="286"/>
      <c r="J33" s="286"/>
      <c r="K33" s="287" t="s">
        <v>28</v>
      </c>
      <c r="L33" s="452">
        <f>+SUM(L34:L37)</f>
        <v>5164362156</v>
      </c>
      <c r="M33" s="288">
        <f>+SUM(M34:M37)</f>
        <v>2627034645</v>
      </c>
      <c r="N33" s="322"/>
    </row>
    <row r="34" spans="2:14" s="327" customFormat="1" ht="30.75" customHeight="1" x14ac:dyDescent="0.2">
      <c r="B34" s="323" t="s">
        <v>6</v>
      </c>
      <c r="C34" s="323" t="s">
        <v>17</v>
      </c>
      <c r="D34" s="323" t="s">
        <v>17</v>
      </c>
      <c r="E34" s="323" t="s">
        <v>17</v>
      </c>
      <c r="F34" s="323" t="s">
        <v>13</v>
      </c>
      <c r="G34" s="323" t="s">
        <v>10</v>
      </c>
      <c r="H34" s="323"/>
      <c r="I34" s="323"/>
      <c r="J34" s="323"/>
      <c r="K34" s="324" t="s">
        <v>151</v>
      </c>
      <c r="L34" s="453">
        <v>19485540</v>
      </c>
      <c r="M34" s="325">
        <v>18918000</v>
      </c>
      <c r="N34" s="326"/>
    </row>
    <row r="35" spans="2:14" s="327" customFormat="1" ht="13.5" x14ac:dyDescent="0.2">
      <c r="B35" s="323" t="s">
        <v>6</v>
      </c>
      <c r="C35" s="323" t="s">
        <v>17</v>
      </c>
      <c r="D35" s="323" t="s">
        <v>17</v>
      </c>
      <c r="E35" s="323" t="s">
        <v>17</v>
      </c>
      <c r="F35" s="323" t="s">
        <v>13</v>
      </c>
      <c r="G35" s="323" t="s">
        <v>12</v>
      </c>
      <c r="H35" s="323"/>
      <c r="I35" s="323"/>
      <c r="J35" s="323"/>
      <c r="K35" s="324" t="s">
        <v>29</v>
      </c>
      <c r="L35" s="453">
        <f>449869088+224934544+36387180</f>
        <v>711190812</v>
      </c>
      <c r="M35" s="328">
        <f>754529151+68593559+31062482+6212496</f>
        <v>860397688</v>
      </c>
      <c r="N35" s="326">
        <f>+L35-M35</f>
        <v>-149206876</v>
      </c>
    </row>
    <row r="36" spans="2:14" s="327" customFormat="1" ht="13.5" x14ac:dyDescent="0.2">
      <c r="B36" s="323" t="s">
        <v>6</v>
      </c>
      <c r="C36" s="323" t="s">
        <v>17</v>
      </c>
      <c r="D36" s="323" t="s">
        <v>17</v>
      </c>
      <c r="E36" s="323" t="s">
        <v>17</v>
      </c>
      <c r="F36" s="323" t="s">
        <v>13</v>
      </c>
      <c r="G36" s="323" t="s">
        <v>15</v>
      </c>
      <c r="H36" s="323"/>
      <c r="I36" s="323"/>
      <c r="J36" s="323"/>
      <c r="K36" s="324" t="s">
        <v>30</v>
      </c>
      <c r="L36" s="453">
        <f>2955790536+1477895268</f>
        <v>4433685804</v>
      </c>
      <c r="M36" s="330">
        <f>1602075711+145643246</f>
        <v>1747718957</v>
      </c>
      <c r="N36" s="326">
        <f>+L36-M36</f>
        <v>2685966847</v>
      </c>
    </row>
    <row r="37" spans="2:14" s="327" customFormat="1" ht="13.5" hidden="1" x14ac:dyDescent="0.2">
      <c r="B37" s="331" t="s">
        <v>6</v>
      </c>
      <c r="C37" s="331" t="s">
        <v>17</v>
      </c>
      <c r="D37" s="331" t="s">
        <v>17</v>
      </c>
      <c r="E37" s="331" t="s">
        <v>17</v>
      </c>
      <c r="F37" s="331" t="s">
        <v>13</v>
      </c>
      <c r="G37" s="323" t="s">
        <v>16</v>
      </c>
      <c r="H37" s="331"/>
      <c r="I37" s="331"/>
      <c r="J37" s="331"/>
      <c r="K37" s="324" t="s">
        <v>243</v>
      </c>
      <c r="L37" s="453"/>
      <c r="M37" s="328"/>
      <c r="N37" s="332"/>
    </row>
    <row r="38" spans="2:14" ht="25.5" x14ac:dyDescent="0.25">
      <c r="B38" s="285" t="s">
        <v>6</v>
      </c>
      <c r="C38" s="286" t="s">
        <v>17</v>
      </c>
      <c r="D38" s="286" t="s">
        <v>17</v>
      </c>
      <c r="E38" s="286" t="s">
        <v>17</v>
      </c>
      <c r="F38" s="286" t="s">
        <v>14</v>
      </c>
      <c r="G38" s="286"/>
      <c r="H38" s="286"/>
      <c r="I38" s="286"/>
      <c r="J38" s="286"/>
      <c r="K38" s="287" t="s">
        <v>31</v>
      </c>
      <c r="L38" s="452">
        <f>+L39+L40</f>
        <v>23703245629</v>
      </c>
      <c r="M38" s="288">
        <f>+M39+M40</f>
        <v>16902600183</v>
      </c>
      <c r="N38" s="322"/>
    </row>
    <row r="39" spans="2:14" ht="143.25" customHeight="1" x14ac:dyDescent="0.25">
      <c r="B39" s="210" t="s">
        <v>6</v>
      </c>
      <c r="C39" s="323" t="s">
        <v>17</v>
      </c>
      <c r="D39" s="323" t="s">
        <v>17</v>
      </c>
      <c r="E39" s="323" t="s">
        <v>17</v>
      </c>
      <c r="F39" s="323" t="s">
        <v>14</v>
      </c>
      <c r="G39" s="323" t="s">
        <v>8</v>
      </c>
      <c r="H39" s="323"/>
      <c r="I39" s="323"/>
      <c r="J39" s="201"/>
      <c r="K39" s="324" t="s">
        <v>200</v>
      </c>
      <c r="L39" s="453">
        <f>7407548219+311574403+141055728+280495491+67282364+334384012+2083592833+21094878+7851217701</f>
        <v>18498245629</v>
      </c>
      <c r="M39" s="328">
        <f>1332188197+266437639+5288054051+1022377374+4788549186+54993736</f>
        <v>12752600183</v>
      </c>
      <c r="N39" s="322"/>
    </row>
    <row r="40" spans="2:14" s="327" customFormat="1" ht="13.5" x14ac:dyDescent="0.2">
      <c r="B40" s="323" t="s">
        <v>6</v>
      </c>
      <c r="C40" s="323" t="s">
        <v>17</v>
      </c>
      <c r="D40" s="323" t="s">
        <v>17</v>
      </c>
      <c r="E40" s="323" t="s">
        <v>17</v>
      </c>
      <c r="F40" s="323" t="s">
        <v>14</v>
      </c>
      <c r="G40" s="323" t="s">
        <v>9</v>
      </c>
      <c r="H40" s="323"/>
      <c r="I40" s="323"/>
      <c r="J40" s="323"/>
      <c r="K40" s="324" t="s">
        <v>210</v>
      </c>
      <c r="L40" s="453">
        <f>800000000+3819935124+585064876</f>
        <v>5205000000</v>
      </c>
      <c r="M40" s="325">
        <f>650000000+3500000000</f>
        <v>4150000000</v>
      </c>
      <c r="N40" s="326"/>
    </row>
    <row r="41" spans="2:14" ht="25.5" x14ac:dyDescent="0.25">
      <c r="B41" s="285" t="s">
        <v>6</v>
      </c>
      <c r="C41" s="286" t="s">
        <v>17</v>
      </c>
      <c r="D41" s="286" t="s">
        <v>17</v>
      </c>
      <c r="E41" s="286" t="s">
        <v>17</v>
      </c>
      <c r="F41" s="286" t="s">
        <v>15</v>
      </c>
      <c r="G41" s="286"/>
      <c r="H41" s="286"/>
      <c r="I41" s="286"/>
      <c r="J41" s="286"/>
      <c r="K41" s="287" t="s">
        <v>32</v>
      </c>
      <c r="L41" s="452">
        <f>+L44+L47+L50+L55+L42</f>
        <v>31002747500</v>
      </c>
      <c r="M41" s="288">
        <f>+M44+M47+M50+M55+M42</f>
        <v>29505338287</v>
      </c>
      <c r="N41" s="322"/>
    </row>
    <row r="42" spans="2:14" s="337" customFormat="1" x14ac:dyDescent="0.25">
      <c r="B42" s="333" t="s">
        <v>6</v>
      </c>
      <c r="C42" s="334" t="s">
        <v>17</v>
      </c>
      <c r="D42" s="334" t="s">
        <v>17</v>
      </c>
      <c r="E42" s="334" t="s">
        <v>17</v>
      </c>
      <c r="F42" s="334" t="s">
        <v>15</v>
      </c>
      <c r="G42" s="334" t="s">
        <v>10</v>
      </c>
      <c r="H42" s="334"/>
      <c r="I42" s="334"/>
      <c r="J42" s="334"/>
      <c r="K42" s="335" t="s">
        <v>244</v>
      </c>
      <c r="L42" s="454">
        <f>+L43</f>
        <v>2090943144</v>
      </c>
      <c r="M42" s="336">
        <f>+M43</f>
        <v>1104771782</v>
      </c>
      <c r="N42" s="322"/>
    </row>
    <row r="43" spans="2:14" s="337" customFormat="1" x14ac:dyDescent="0.25">
      <c r="B43" s="323" t="s">
        <v>6</v>
      </c>
      <c r="C43" s="323" t="s">
        <v>17</v>
      </c>
      <c r="D43" s="323" t="s">
        <v>17</v>
      </c>
      <c r="E43" s="323" t="s">
        <v>17</v>
      </c>
      <c r="F43" s="323" t="s">
        <v>15</v>
      </c>
      <c r="G43" s="323" t="s">
        <v>10</v>
      </c>
      <c r="H43" s="323"/>
      <c r="I43" s="338"/>
      <c r="J43" s="338"/>
      <c r="K43" s="324" t="s">
        <v>202</v>
      </c>
      <c r="L43" s="453">
        <f>1280622144+810321000</f>
        <v>2090943144</v>
      </c>
      <c r="M43" s="330">
        <f>920643152+184128630</f>
        <v>1104771782</v>
      </c>
      <c r="N43" s="339">
        <f>+L43-M43</f>
        <v>986171362</v>
      </c>
    </row>
    <row r="44" spans="2:14" s="337" customFormat="1" ht="25.5" x14ac:dyDescent="0.25">
      <c r="B44" s="333" t="s">
        <v>6</v>
      </c>
      <c r="C44" s="334" t="s">
        <v>17</v>
      </c>
      <c r="D44" s="334" t="s">
        <v>17</v>
      </c>
      <c r="E44" s="334" t="s">
        <v>17</v>
      </c>
      <c r="F44" s="334" t="s">
        <v>15</v>
      </c>
      <c r="G44" s="334" t="s">
        <v>11</v>
      </c>
      <c r="H44" s="334"/>
      <c r="I44" s="334"/>
      <c r="J44" s="334"/>
      <c r="K44" s="335" t="s">
        <v>245</v>
      </c>
      <c r="L44" s="454">
        <f>+L46+L45</f>
        <v>30997163</v>
      </c>
      <c r="M44" s="336">
        <f>+M46+M45</f>
        <v>30094333</v>
      </c>
      <c r="N44" s="322"/>
    </row>
    <row r="45" spans="2:14" s="337" customFormat="1" hidden="1" x14ac:dyDescent="0.25">
      <c r="B45" s="323" t="s">
        <v>6</v>
      </c>
      <c r="C45" s="323" t="s">
        <v>17</v>
      </c>
      <c r="D45" s="323" t="s">
        <v>17</v>
      </c>
      <c r="E45" s="323" t="s">
        <v>17</v>
      </c>
      <c r="F45" s="323" t="s">
        <v>15</v>
      </c>
      <c r="G45" s="323" t="s">
        <v>11</v>
      </c>
      <c r="H45" s="323" t="s">
        <v>7</v>
      </c>
      <c r="I45" s="338"/>
      <c r="J45" s="338"/>
      <c r="K45" s="324" t="s">
        <v>246</v>
      </c>
      <c r="L45" s="453"/>
      <c r="M45" s="325"/>
      <c r="N45" s="340"/>
    </row>
    <row r="46" spans="2:14" s="327" customFormat="1" ht="13.5" x14ac:dyDescent="0.2">
      <c r="B46" s="323" t="s">
        <v>6</v>
      </c>
      <c r="C46" s="323" t="s">
        <v>17</v>
      </c>
      <c r="D46" s="323" t="s">
        <v>17</v>
      </c>
      <c r="E46" s="323" t="s">
        <v>17</v>
      </c>
      <c r="F46" s="323" t="s">
        <v>15</v>
      </c>
      <c r="G46" s="323" t="s">
        <v>11</v>
      </c>
      <c r="H46" s="323" t="s">
        <v>45</v>
      </c>
      <c r="I46" s="323"/>
      <c r="J46" s="323"/>
      <c r="K46" s="324" t="s">
        <v>205</v>
      </c>
      <c r="L46" s="453">
        <v>30997163</v>
      </c>
      <c r="M46" s="325">
        <v>30094333</v>
      </c>
      <c r="N46" s="341"/>
    </row>
    <row r="47" spans="2:14" s="346" customFormat="1" ht="13.5" x14ac:dyDescent="0.2">
      <c r="B47" s="342" t="s">
        <v>6</v>
      </c>
      <c r="C47" s="342" t="s">
        <v>17</v>
      </c>
      <c r="D47" s="342" t="s">
        <v>17</v>
      </c>
      <c r="E47" s="342" t="s">
        <v>17</v>
      </c>
      <c r="F47" s="342" t="s">
        <v>15</v>
      </c>
      <c r="G47" s="342" t="s">
        <v>12</v>
      </c>
      <c r="H47" s="342"/>
      <c r="I47" s="342"/>
      <c r="J47" s="342"/>
      <c r="K47" s="343" t="s">
        <v>247</v>
      </c>
      <c r="L47" s="455">
        <f>+L48+L49</f>
        <v>26390883703</v>
      </c>
      <c r="M47" s="344">
        <f>+M48+M49</f>
        <v>26208756547</v>
      </c>
      <c r="N47" s="345"/>
    </row>
    <row r="48" spans="2:14" s="347" customFormat="1" ht="13.5" x14ac:dyDescent="0.25">
      <c r="B48" s="323" t="s">
        <v>6</v>
      </c>
      <c r="C48" s="323" t="s">
        <v>17</v>
      </c>
      <c r="D48" s="323" t="s">
        <v>17</v>
      </c>
      <c r="E48" s="323" t="s">
        <v>17</v>
      </c>
      <c r="F48" s="323" t="s">
        <v>15</v>
      </c>
      <c r="G48" s="323" t="s">
        <v>12</v>
      </c>
      <c r="H48" s="323" t="s">
        <v>17</v>
      </c>
      <c r="I48" s="323"/>
      <c r="J48" s="323"/>
      <c r="K48" s="324" t="s">
        <v>57</v>
      </c>
      <c r="L48" s="453">
        <f>20712539736+2071253974</f>
        <v>22783793710</v>
      </c>
      <c r="M48" s="330">
        <f>16259260040+3169513768+3885754762</f>
        <v>23314528570</v>
      </c>
      <c r="N48" s="339">
        <f>+L48-M48</f>
        <v>-530734860</v>
      </c>
    </row>
    <row r="49" spans="2:14" s="347" customFormat="1" ht="13.5" x14ac:dyDescent="0.25">
      <c r="B49" s="323" t="s">
        <v>6</v>
      </c>
      <c r="C49" s="323" t="s">
        <v>17</v>
      </c>
      <c r="D49" s="323" t="s">
        <v>17</v>
      </c>
      <c r="E49" s="323" t="s">
        <v>17</v>
      </c>
      <c r="F49" s="323" t="s">
        <v>15</v>
      </c>
      <c r="G49" s="323" t="s">
        <v>12</v>
      </c>
      <c r="H49" s="323" t="s">
        <v>18</v>
      </c>
      <c r="I49" s="323"/>
      <c r="J49" s="323"/>
      <c r="K49" s="324" t="s">
        <v>154</v>
      </c>
      <c r="L49" s="453">
        <f>3005908327+601181666</f>
        <v>3607089993</v>
      </c>
      <c r="M49" s="330">
        <f>1861389748+221137973+416505544+395194712</f>
        <v>2894227977</v>
      </c>
      <c r="N49" s="339">
        <f>+L49-M49</f>
        <v>712862016</v>
      </c>
    </row>
    <row r="50" spans="2:14" s="350" customFormat="1" ht="27" x14ac:dyDescent="0.25">
      <c r="B50" s="342" t="s">
        <v>6</v>
      </c>
      <c r="C50" s="342" t="s">
        <v>17</v>
      </c>
      <c r="D50" s="342" t="s">
        <v>17</v>
      </c>
      <c r="E50" s="342" t="s">
        <v>17</v>
      </c>
      <c r="F50" s="342" t="s">
        <v>15</v>
      </c>
      <c r="G50" s="342" t="s">
        <v>14</v>
      </c>
      <c r="H50" s="342"/>
      <c r="I50" s="342"/>
      <c r="J50" s="342"/>
      <c r="K50" s="343" t="s">
        <v>248</v>
      </c>
      <c r="L50" s="455">
        <f>+L53+L52+L51+L54</f>
        <v>2211445394</v>
      </c>
      <c r="M50" s="348">
        <f>+M53+M52+M51+M54</f>
        <v>1900321589</v>
      </c>
      <c r="N50" s="349"/>
    </row>
    <row r="51" spans="2:14" s="350" customFormat="1" ht="13.5" hidden="1" x14ac:dyDescent="0.25">
      <c r="B51" s="323" t="s">
        <v>6</v>
      </c>
      <c r="C51" s="323" t="s">
        <v>17</v>
      </c>
      <c r="D51" s="323" t="s">
        <v>17</v>
      </c>
      <c r="E51" s="323" t="s">
        <v>17</v>
      </c>
      <c r="F51" s="323" t="s">
        <v>15</v>
      </c>
      <c r="G51" s="323" t="s">
        <v>14</v>
      </c>
      <c r="H51" s="323" t="s">
        <v>7</v>
      </c>
      <c r="I51" s="323" t="s">
        <v>50</v>
      </c>
      <c r="J51" s="323"/>
      <c r="K51" s="324" t="s">
        <v>249</v>
      </c>
      <c r="L51" s="453">
        <v>0</v>
      </c>
      <c r="M51" s="351">
        <v>0</v>
      </c>
      <c r="N51" s="349"/>
    </row>
    <row r="52" spans="2:14" s="350" customFormat="1" ht="13.5" x14ac:dyDescent="0.25">
      <c r="B52" s="323" t="s">
        <v>6</v>
      </c>
      <c r="C52" s="323" t="s">
        <v>17</v>
      </c>
      <c r="D52" s="323" t="s">
        <v>17</v>
      </c>
      <c r="E52" s="323" t="s">
        <v>17</v>
      </c>
      <c r="F52" s="323" t="s">
        <v>15</v>
      </c>
      <c r="G52" s="323" t="s">
        <v>14</v>
      </c>
      <c r="H52" s="323" t="s">
        <v>7</v>
      </c>
      <c r="I52" s="323" t="s">
        <v>174</v>
      </c>
      <c r="J52" s="323"/>
      <c r="K52" s="324" t="s">
        <v>250</v>
      </c>
      <c r="L52" s="453">
        <v>636864240</v>
      </c>
      <c r="M52" s="351">
        <v>630600000</v>
      </c>
      <c r="N52" s="349"/>
    </row>
    <row r="53" spans="2:14" s="327" customFormat="1" ht="13.5" x14ac:dyDescent="0.2">
      <c r="B53" s="323" t="s">
        <v>6</v>
      </c>
      <c r="C53" s="323" t="s">
        <v>17</v>
      </c>
      <c r="D53" s="323" t="s">
        <v>17</v>
      </c>
      <c r="E53" s="323" t="s">
        <v>17</v>
      </c>
      <c r="F53" s="323" t="s">
        <v>15</v>
      </c>
      <c r="G53" s="323" t="s">
        <v>14</v>
      </c>
      <c r="H53" s="323" t="s">
        <v>17</v>
      </c>
      <c r="I53" s="323">
        <v>9</v>
      </c>
      <c r="J53" s="323"/>
      <c r="K53" s="324" t="s">
        <v>155</v>
      </c>
      <c r="L53" s="453">
        <f>229173206+636396179+92384548+150000000+45466260</f>
        <v>1153420193</v>
      </c>
      <c r="M53" s="351">
        <f>216725092+594226982+89693736+44142000</f>
        <v>944787810</v>
      </c>
      <c r="N53" s="352"/>
    </row>
    <row r="54" spans="2:14" s="327" customFormat="1" ht="13.5" x14ac:dyDescent="0.2">
      <c r="B54" s="323" t="s">
        <v>6</v>
      </c>
      <c r="C54" s="323" t="s">
        <v>17</v>
      </c>
      <c r="D54" s="323" t="s">
        <v>17</v>
      </c>
      <c r="E54" s="323" t="s">
        <v>17</v>
      </c>
      <c r="F54" s="323" t="s">
        <v>15</v>
      </c>
      <c r="G54" s="323" t="s">
        <v>14</v>
      </c>
      <c r="H54" s="323" t="s">
        <v>7</v>
      </c>
      <c r="I54" s="323" t="s">
        <v>65</v>
      </c>
      <c r="J54" s="323"/>
      <c r="K54" s="324" t="s">
        <v>251</v>
      </c>
      <c r="L54" s="453">
        <f>85000000+42000000+32000000+40000000+30000000+52000000+60000000+7000000+30000000+12360000+28300961+2500000</f>
        <v>421160961</v>
      </c>
      <c r="M54" s="353">
        <f>81370000+69010000+50000000+41200000+60000000+15319779+8034000</f>
        <v>324933779</v>
      </c>
      <c r="N54" s="352"/>
    </row>
    <row r="55" spans="2:14" s="346" customFormat="1" ht="13.5" x14ac:dyDescent="0.2">
      <c r="B55" s="342" t="s">
        <v>6</v>
      </c>
      <c r="C55" s="342" t="s">
        <v>17</v>
      </c>
      <c r="D55" s="342" t="s">
        <v>17</v>
      </c>
      <c r="E55" s="342" t="s">
        <v>17</v>
      </c>
      <c r="F55" s="342" t="s">
        <v>15</v>
      </c>
      <c r="G55" s="342" t="s">
        <v>16</v>
      </c>
      <c r="H55" s="342"/>
      <c r="I55" s="342"/>
      <c r="J55" s="342"/>
      <c r="K55" s="343" t="s">
        <v>168</v>
      </c>
      <c r="L55" s="455">
        <f>+L56</f>
        <v>278478096</v>
      </c>
      <c r="M55" s="354">
        <f>+M56</f>
        <v>261394036</v>
      </c>
      <c r="N55" s="355"/>
    </row>
    <row r="56" spans="2:14" s="327" customFormat="1" ht="13.5" x14ac:dyDescent="0.2">
      <c r="B56" s="323" t="s">
        <v>6</v>
      </c>
      <c r="C56" s="323" t="s">
        <v>17</v>
      </c>
      <c r="D56" s="323" t="s">
        <v>17</v>
      </c>
      <c r="E56" s="323" t="s">
        <v>17</v>
      </c>
      <c r="F56" s="323" t="s">
        <v>15</v>
      </c>
      <c r="G56" s="323" t="s">
        <v>16</v>
      </c>
      <c r="H56" s="323" t="s">
        <v>17</v>
      </c>
      <c r="I56" s="323"/>
      <c r="J56" s="323"/>
      <c r="K56" s="324" t="s">
        <v>59</v>
      </c>
      <c r="L56" s="453">
        <f>95835336+182642760</f>
        <v>278478096</v>
      </c>
      <c r="M56" s="351">
        <f>93044016+168350020</f>
        <v>261394036</v>
      </c>
      <c r="N56" s="352"/>
    </row>
    <row r="57" spans="2:14" s="327" customFormat="1" ht="3.75" customHeight="1" x14ac:dyDescent="0.2">
      <c r="B57" s="356"/>
      <c r="C57" s="356"/>
      <c r="D57" s="356"/>
      <c r="E57" s="356"/>
      <c r="F57" s="356"/>
      <c r="G57" s="356"/>
      <c r="H57" s="356"/>
      <c r="I57" s="356"/>
      <c r="J57" s="356"/>
      <c r="K57" s="357"/>
      <c r="L57" s="456"/>
      <c r="M57" s="358"/>
      <c r="N57" s="359"/>
    </row>
    <row r="58" spans="2:14" x14ac:dyDescent="0.25">
      <c r="B58" s="281" t="s">
        <v>6</v>
      </c>
      <c r="C58" s="282" t="s">
        <v>18</v>
      </c>
      <c r="D58" s="282"/>
      <c r="E58" s="282"/>
      <c r="F58" s="282"/>
      <c r="G58" s="282"/>
      <c r="H58" s="282"/>
      <c r="I58" s="282"/>
      <c r="J58" s="282"/>
      <c r="K58" s="283" t="s">
        <v>34</v>
      </c>
      <c r="L58" s="451">
        <f>+L59+L62</f>
        <v>20311570390</v>
      </c>
      <c r="M58" s="284">
        <f>+M59+M62</f>
        <v>20476985584</v>
      </c>
      <c r="N58" s="321"/>
    </row>
    <row r="59" spans="2:14" x14ac:dyDescent="0.25">
      <c r="B59" s="317" t="s">
        <v>6</v>
      </c>
      <c r="C59" s="282" t="s">
        <v>18</v>
      </c>
      <c r="D59" s="282" t="s">
        <v>18</v>
      </c>
      <c r="E59" s="282"/>
      <c r="F59" s="282"/>
      <c r="G59" s="282"/>
      <c r="H59" s="282"/>
      <c r="I59" s="282"/>
      <c r="J59" s="282"/>
      <c r="K59" s="283" t="s">
        <v>35</v>
      </c>
      <c r="L59" s="451">
        <f>+L60</f>
        <v>20000000000</v>
      </c>
      <c r="M59" s="284">
        <f>+M60</f>
        <v>20000000000</v>
      </c>
      <c r="N59" s="321"/>
    </row>
    <row r="60" spans="2:14" x14ac:dyDescent="0.25">
      <c r="B60" s="281" t="s">
        <v>6</v>
      </c>
      <c r="C60" s="282" t="s">
        <v>18</v>
      </c>
      <c r="D60" s="282" t="s">
        <v>18</v>
      </c>
      <c r="E60" s="282" t="s">
        <v>7</v>
      </c>
      <c r="F60" s="282"/>
      <c r="G60" s="282"/>
      <c r="H60" s="282"/>
      <c r="I60" s="282"/>
      <c r="J60" s="282"/>
      <c r="K60" s="283" t="s">
        <v>36</v>
      </c>
      <c r="L60" s="451">
        <f>+L61</f>
        <v>20000000000</v>
      </c>
      <c r="M60" s="284">
        <f>+M61</f>
        <v>20000000000</v>
      </c>
      <c r="N60" s="321"/>
    </row>
    <row r="61" spans="2:14" x14ac:dyDescent="0.25">
      <c r="B61" s="285" t="s">
        <v>6</v>
      </c>
      <c r="C61" s="286" t="s">
        <v>18</v>
      </c>
      <c r="D61" s="286" t="s">
        <v>18</v>
      </c>
      <c r="E61" s="286" t="s">
        <v>7</v>
      </c>
      <c r="F61" s="286" t="s">
        <v>37</v>
      </c>
      <c r="G61" s="286"/>
      <c r="H61" s="286"/>
      <c r="I61" s="286"/>
      <c r="J61" s="286" t="s">
        <v>201</v>
      </c>
      <c r="K61" s="287" t="s">
        <v>38</v>
      </c>
      <c r="L61" s="452">
        <v>20000000000</v>
      </c>
      <c r="M61" s="360">
        <v>20000000000</v>
      </c>
      <c r="N61" s="322"/>
    </row>
    <row r="62" spans="2:14" ht="15" customHeight="1" x14ac:dyDescent="0.25">
      <c r="B62" s="317" t="s">
        <v>6</v>
      </c>
      <c r="C62" s="282" t="s">
        <v>18</v>
      </c>
      <c r="D62" s="282" t="s">
        <v>39</v>
      </c>
      <c r="E62" s="282" t="s">
        <v>33</v>
      </c>
      <c r="F62" s="282" t="s">
        <v>33</v>
      </c>
      <c r="G62" s="282"/>
      <c r="H62" s="282"/>
      <c r="I62" s="282"/>
      <c r="J62" s="282" t="s">
        <v>201</v>
      </c>
      <c r="K62" s="283" t="s">
        <v>40</v>
      </c>
      <c r="L62" s="451">
        <f>+L63</f>
        <v>311570390</v>
      </c>
      <c r="M62" s="284">
        <f>+M63</f>
        <v>476985584</v>
      </c>
      <c r="N62" s="321"/>
    </row>
    <row r="63" spans="2:14" ht="15" customHeight="1" x14ac:dyDescent="0.25">
      <c r="B63" s="281" t="s">
        <v>6</v>
      </c>
      <c r="C63" s="282" t="s">
        <v>18</v>
      </c>
      <c r="D63" s="282" t="s">
        <v>39</v>
      </c>
      <c r="E63" s="282" t="s">
        <v>7</v>
      </c>
      <c r="F63" s="282" t="s">
        <v>33</v>
      </c>
      <c r="G63" s="282"/>
      <c r="H63" s="282"/>
      <c r="I63" s="282"/>
      <c r="J63" s="282"/>
      <c r="K63" s="283" t="s">
        <v>41</v>
      </c>
      <c r="L63" s="451">
        <f>+L64+L65</f>
        <v>311570390</v>
      </c>
      <c r="M63" s="284">
        <v>476985584</v>
      </c>
      <c r="N63" s="321"/>
    </row>
    <row r="64" spans="2:14" ht="15" customHeight="1" x14ac:dyDescent="0.25">
      <c r="B64" s="285" t="s">
        <v>6</v>
      </c>
      <c r="C64" s="286" t="s">
        <v>18</v>
      </c>
      <c r="D64" s="286" t="s">
        <v>39</v>
      </c>
      <c r="E64" s="286" t="s">
        <v>7</v>
      </c>
      <c r="F64" s="286" t="s">
        <v>8</v>
      </c>
      <c r="G64" s="286"/>
      <c r="H64" s="286"/>
      <c r="I64" s="286"/>
      <c r="J64" s="286"/>
      <c r="K64" s="287" t="s">
        <v>42</v>
      </c>
      <c r="L64" s="452">
        <v>218560000</v>
      </c>
      <c r="M64" s="288">
        <f>+M63/2</f>
        <v>238492792</v>
      </c>
      <c r="N64" s="322"/>
    </row>
    <row r="65" spans="2:14" ht="15.75" customHeight="1" x14ac:dyDescent="0.25">
      <c r="B65" s="285" t="s">
        <v>6</v>
      </c>
      <c r="C65" s="286" t="s">
        <v>18</v>
      </c>
      <c r="D65" s="286" t="s">
        <v>39</v>
      </c>
      <c r="E65" s="286" t="s">
        <v>7</v>
      </c>
      <c r="F65" s="286" t="s">
        <v>9</v>
      </c>
      <c r="G65" s="286"/>
      <c r="H65" s="286"/>
      <c r="I65" s="286"/>
      <c r="J65" s="286"/>
      <c r="K65" s="287" t="s">
        <v>252</v>
      </c>
      <c r="L65" s="452">
        <v>93010390</v>
      </c>
      <c r="M65" s="288">
        <f>+M63/2</f>
        <v>238492792</v>
      </c>
      <c r="N65" s="322"/>
    </row>
    <row r="66" spans="2:14" ht="5.25" customHeight="1" x14ac:dyDescent="0.25">
      <c r="B66" s="361"/>
      <c r="C66" s="361"/>
      <c r="D66" s="361"/>
      <c r="E66" s="361"/>
      <c r="F66" s="361"/>
      <c r="G66" s="361"/>
      <c r="H66" s="361"/>
      <c r="I66" s="361"/>
      <c r="J66" s="361"/>
      <c r="K66" s="362"/>
      <c r="L66" s="457"/>
      <c r="M66" s="363"/>
      <c r="N66" s="364"/>
    </row>
    <row r="67" spans="2:14" ht="25.5" x14ac:dyDescent="0.25">
      <c r="B67" s="281" t="s">
        <v>6</v>
      </c>
      <c r="C67" s="282" t="s">
        <v>43</v>
      </c>
      <c r="D67" s="282" t="s">
        <v>33</v>
      </c>
      <c r="E67" s="282" t="s">
        <v>33</v>
      </c>
      <c r="F67" s="282"/>
      <c r="G67" s="282"/>
      <c r="H67" s="282"/>
      <c r="I67" s="282"/>
      <c r="J67" s="282"/>
      <c r="K67" s="283" t="s">
        <v>44</v>
      </c>
      <c r="L67" s="451">
        <f>+L73+L77</f>
        <v>2189014088</v>
      </c>
      <c r="M67" s="284">
        <f>+M73+M77</f>
        <v>2120521251</v>
      </c>
      <c r="N67" s="321"/>
    </row>
    <row r="68" spans="2:14" ht="15" hidden="1" customHeight="1" x14ac:dyDescent="0.25">
      <c r="B68" s="281" t="s">
        <v>6</v>
      </c>
      <c r="C68" s="282" t="s">
        <v>43</v>
      </c>
      <c r="D68" s="282" t="s">
        <v>7</v>
      </c>
      <c r="E68" s="282"/>
      <c r="F68" s="282"/>
      <c r="G68" s="282"/>
      <c r="H68" s="282"/>
      <c r="I68" s="282"/>
      <c r="J68" s="282"/>
      <c r="K68" s="283" t="s">
        <v>60</v>
      </c>
      <c r="L68" s="451">
        <f>+SUM(L69:L72)</f>
        <v>0</v>
      </c>
      <c r="M68" s="284">
        <f>+SUM(M69:M72)</f>
        <v>0</v>
      </c>
      <c r="N68" s="321"/>
    </row>
    <row r="69" spans="2:14" ht="15" hidden="1" customHeight="1" x14ac:dyDescent="0.25">
      <c r="B69" s="285" t="s">
        <v>6</v>
      </c>
      <c r="C69" s="286" t="s">
        <v>43</v>
      </c>
      <c r="D69" s="286" t="s">
        <v>7</v>
      </c>
      <c r="E69" s="286" t="s">
        <v>17</v>
      </c>
      <c r="F69" s="286" t="s">
        <v>8</v>
      </c>
      <c r="G69" s="286"/>
      <c r="H69" s="286"/>
      <c r="I69" s="286"/>
      <c r="J69" s="286"/>
      <c r="K69" s="287" t="s">
        <v>61</v>
      </c>
      <c r="L69" s="452"/>
      <c r="M69" s="288"/>
      <c r="N69" s="322"/>
    </row>
    <row r="70" spans="2:14" ht="15" hidden="1" customHeight="1" x14ac:dyDescent="0.25">
      <c r="B70" s="285" t="s">
        <v>6</v>
      </c>
      <c r="C70" s="286" t="s">
        <v>43</v>
      </c>
      <c r="D70" s="286" t="s">
        <v>7</v>
      </c>
      <c r="E70" s="286" t="s">
        <v>17</v>
      </c>
      <c r="F70" s="286" t="s">
        <v>10</v>
      </c>
      <c r="G70" s="286"/>
      <c r="H70" s="286"/>
      <c r="I70" s="286"/>
      <c r="J70" s="286"/>
      <c r="K70" s="287" t="s">
        <v>62</v>
      </c>
      <c r="L70" s="452"/>
      <c r="M70" s="288"/>
      <c r="N70" s="322"/>
    </row>
    <row r="71" spans="2:14" ht="15" hidden="1" customHeight="1" x14ac:dyDescent="0.25">
      <c r="B71" s="285" t="s">
        <v>6</v>
      </c>
      <c r="C71" s="286" t="s">
        <v>43</v>
      </c>
      <c r="D71" s="286" t="s">
        <v>7</v>
      </c>
      <c r="E71" s="286" t="s">
        <v>17</v>
      </c>
      <c r="F71" s="286" t="s">
        <v>12</v>
      </c>
      <c r="G71" s="286"/>
      <c r="H71" s="286"/>
      <c r="I71" s="286"/>
      <c r="J71" s="286"/>
      <c r="K71" s="287" t="s">
        <v>63</v>
      </c>
      <c r="L71" s="452"/>
      <c r="M71" s="288"/>
      <c r="N71" s="322"/>
    </row>
    <row r="72" spans="2:14" ht="15" hidden="1" customHeight="1" x14ac:dyDescent="0.25">
      <c r="B72" s="285" t="s">
        <v>6</v>
      </c>
      <c r="C72" s="286" t="s">
        <v>43</v>
      </c>
      <c r="D72" s="286" t="s">
        <v>7</v>
      </c>
      <c r="E72" s="286" t="s">
        <v>17</v>
      </c>
      <c r="F72" s="286" t="s">
        <v>13</v>
      </c>
      <c r="G72" s="286"/>
      <c r="H72" s="286"/>
      <c r="I72" s="286"/>
      <c r="J72" s="286"/>
      <c r="K72" s="287" t="s">
        <v>64</v>
      </c>
      <c r="L72" s="452"/>
      <c r="M72" s="288"/>
      <c r="N72" s="322"/>
    </row>
    <row r="73" spans="2:14" ht="15" customHeight="1" x14ac:dyDescent="0.25">
      <c r="B73" s="281" t="s">
        <v>6</v>
      </c>
      <c r="C73" s="282" t="s">
        <v>43</v>
      </c>
      <c r="D73" s="365" t="s">
        <v>7</v>
      </c>
      <c r="E73" s="365"/>
      <c r="F73" s="365"/>
      <c r="G73" s="365"/>
      <c r="H73" s="365"/>
      <c r="I73" s="365"/>
      <c r="J73" s="365" t="s">
        <v>201</v>
      </c>
      <c r="K73" s="283" t="s">
        <v>60</v>
      </c>
      <c r="L73" s="451">
        <f>+L74+L75+L76</f>
        <v>1828306530</v>
      </c>
      <c r="M73" s="284">
        <f>+M74+M75+M76</f>
        <v>1771100000</v>
      </c>
      <c r="N73" s="322"/>
    </row>
    <row r="74" spans="2:14" ht="15" customHeight="1" x14ac:dyDescent="0.25">
      <c r="B74" s="285" t="s">
        <v>6</v>
      </c>
      <c r="C74" s="286" t="s">
        <v>43</v>
      </c>
      <c r="D74" s="286" t="s">
        <v>7</v>
      </c>
      <c r="E74" s="286" t="s">
        <v>17</v>
      </c>
      <c r="F74" s="286" t="s">
        <v>8</v>
      </c>
      <c r="G74" s="286"/>
      <c r="H74" s="286"/>
      <c r="I74" s="286"/>
      <c r="J74" s="286"/>
      <c r="K74" s="287" t="s">
        <v>61</v>
      </c>
      <c r="L74" s="452">
        <v>1803806530</v>
      </c>
      <c r="M74" s="288">
        <v>1752723404</v>
      </c>
      <c r="N74" s="321"/>
    </row>
    <row r="75" spans="2:14" ht="15.75" customHeight="1" x14ac:dyDescent="0.25">
      <c r="B75" s="285" t="s">
        <v>6</v>
      </c>
      <c r="C75" s="286" t="s">
        <v>43</v>
      </c>
      <c r="D75" s="286" t="s">
        <v>7</v>
      </c>
      <c r="E75" s="286" t="s">
        <v>17</v>
      </c>
      <c r="F75" s="286" t="s">
        <v>12</v>
      </c>
      <c r="G75" s="286"/>
      <c r="H75" s="286"/>
      <c r="I75" s="286"/>
      <c r="J75" s="286"/>
      <c r="K75" s="287" t="s">
        <v>63</v>
      </c>
      <c r="L75" s="452">
        <v>20000000</v>
      </c>
      <c r="M75" s="288">
        <v>12612000</v>
      </c>
      <c r="N75" s="322"/>
    </row>
    <row r="76" spans="2:14" ht="17.25" x14ac:dyDescent="0.25">
      <c r="B76" s="285" t="s">
        <v>6</v>
      </c>
      <c r="C76" s="286" t="s">
        <v>43</v>
      </c>
      <c r="D76" s="286" t="s">
        <v>7</v>
      </c>
      <c r="E76" s="286" t="s">
        <v>17</v>
      </c>
      <c r="F76" s="286" t="s">
        <v>13</v>
      </c>
      <c r="G76" s="286"/>
      <c r="H76" s="286"/>
      <c r="I76" s="286"/>
      <c r="J76" s="286"/>
      <c r="K76" s="287" t="s">
        <v>64</v>
      </c>
      <c r="L76" s="452">
        <v>4500000</v>
      </c>
      <c r="M76" s="288">
        <v>5764596</v>
      </c>
      <c r="N76" s="366"/>
    </row>
    <row r="77" spans="2:14" ht="16.5" x14ac:dyDescent="0.25">
      <c r="B77" s="281" t="s">
        <v>6</v>
      </c>
      <c r="C77" s="282" t="s">
        <v>43</v>
      </c>
      <c r="D77" s="282" t="s">
        <v>45</v>
      </c>
      <c r="E77" s="282" t="s">
        <v>33</v>
      </c>
      <c r="F77" s="282"/>
      <c r="G77" s="282"/>
      <c r="H77" s="282"/>
      <c r="I77" s="282"/>
      <c r="J77" s="282"/>
      <c r="K77" s="283" t="s">
        <v>46</v>
      </c>
      <c r="L77" s="451">
        <f>+SUM(L78:L79)</f>
        <v>360707558</v>
      </c>
      <c r="M77" s="284">
        <f>+SUM(M78:M79)</f>
        <v>349421251</v>
      </c>
      <c r="N77" s="364"/>
    </row>
    <row r="78" spans="2:14" ht="25.5" customHeight="1" x14ac:dyDescent="0.25">
      <c r="B78" s="285" t="s">
        <v>6</v>
      </c>
      <c r="C78" s="286" t="s">
        <v>43</v>
      </c>
      <c r="D78" s="286" t="s">
        <v>45</v>
      </c>
      <c r="E78" s="286" t="s">
        <v>7</v>
      </c>
      <c r="F78" s="286"/>
      <c r="G78" s="286"/>
      <c r="H78" s="286"/>
      <c r="I78" s="286"/>
      <c r="J78" s="286" t="s">
        <v>201</v>
      </c>
      <c r="K78" s="287" t="s">
        <v>47</v>
      </c>
      <c r="L78" s="452">
        <v>322691162</v>
      </c>
      <c r="M78" s="288">
        <v>312594364</v>
      </c>
      <c r="N78" s="321"/>
    </row>
    <row r="79" spans="2:14" ht="15" customHeight="1" x14ac:dyDescent="0.25">
      <c r="B79" s="285" t="s">
        <v>6</v>
      </c>
      <c r="C79" s="286" t="s">
        <v>43</v>
      </c>
      <c r="D79" s="286" t="s">
        <v>45</v>
      </c>
      <c r="E79" s="286" t="s">
        <v>45</v>
      </c>
      <c r="F79" s="286"/>
      <c r="G79" s="286"/>
      <c r="H79" s="286"/>
      <c r="I79" s="286"/>
      <c r="J79" s="286" t="s">
        <v>201</v>
      </c>
      <c r="K79" s="287" t="s">
        <v>253</v>
      </c>
      <c r="L79" s="452">
        <v>38016396</v>
      </c>
      <c r="M79" s="288">
        <v>36826887</v>
      </c>
      <c r="N79" s="321"/>
    </row>
    <row r="80" spans="2:14" ht="17.25" customHeight="1" x14ac:dyDescent="0.25">
      <c r="B80" s="653" t="s">
        <v>48</v>
      </c>
      <c r="C80" s="654"/>
      <c r="D80" s="654"/>
      <c r="E80" s="654"/>
      <c r="F80" s="654"/>
      <c r="G80" s="654"/>
      <c r="H80" s="654"/>
      <c r="I80" s="654"/>
      <c r="J80" s="654"/>
      <c r="K80" s="655"/>
      <c r="L80" s="458">
        <f>+L67+L58+L3</f>
        <v>92500584478</v>
      </c>
      <c r="M80" s="367">
        <f>+M67+M58+M3</f>
        <v>80742080062</v>
      </c>
      <c r="N80" s="321"/>
    </row>
    <row r="81" spans="2:14" ht="16.5" customHeight="1" x14ac:dyDescent="0.25">
      <c r="B81" s="361"/>
      <c r="C81" s="361"/>
      <c r="D81" s="361"/>
      <c r="E81" s="361"/>
      <c r="F81" s="361"/>
      <c r="G81" s="361"/>
      <c r="H81" s="361"/>
      <c r="I81" s="361"/>
      <c r="J81" s="361"/>
      <c r="K81" s="362"/>
      <c r="L81" s="457"/>
      <c r="M81" s="363"/>
      <c r="N81" s="321"/>
    </row>
    <row r="82" spans="2:14" x14ac:dyDescent="0.25">
      <c r="B82" s="281" t="s">
        <v>1</v>
      </c>
      <c r="C82" s="282" t="s">
        <v>177</v>
      </c>
      <c r="D82" s="282" t="s">
        <v>33</v>
      </c>
      <c r="E82" s="282" t="s">
        <v>33</v>
      </c>
      <c r="F82" s="282"/>
      <c r="G82" s="282"/>
      <c r="H82" s="282"/>
      <c r="I82" s="282"/>
      <c r="J82" s="282"/>
      <c r="K82" s="283" t="s">
        <v>178</v>
      </c>
      <c r="L82" s="451">
        <f>+L83</f>
        <v>7190750728</v>
      </c>
      <c r="M82" s="284" t="e">
        <f>+M83</f>
        <v>#REF!</v>
      </c>
      <c r="N82" s="321"/>
    </row>
    <row r="83" spans="2:14" ht="15" customHeight="1" x14ac:dyDescent="0.25">
      <c r="B83" s="281" t="s">
        <v>1</v>
      </c>
      <c r="C83" s="282" t="s">
        <v>177</v>
      </c>
      <c r="D83" s="282" t="s">
        <v>49</v>
      </c>
      <c r="E83" s="282" t="s">
        <v>33</v>
      </c>
      <c r="F83" s="282"/>
      <c r="G83" s="282"/>
      <c r="H83" s="282"/>
      <c r="I83" s="282"/>
      <c r="J83" s="282"/>
      <c r="K83" s="283" t="s">
        <v>180</v>
      </c>
      <c r="L83" s="451">
        <f>+L84</f>
        <v>7190750728</v>
      </c>
      <c r="M83" s="284" t="e">
        <f>+M84+#REF!</f>
        <v>#REF!</v>
      </c>
      <c r="N83" s="321"/>
    </row>
    <row r="84" spans="2:14" ht="40.5" customHeight="1" x14ac:dyDescent="0.25">
      <c r="B84" s="285" t="s">
        <v>1</v>
      </c>
      <c r="C84" s="286" t="s">
        <v>177</v>
      </c>
      <c r="D84" s="286" t="s">
        <v>49</v>
      </c>
      <c r="E84" s="286" t="s">
        <v>174</v>
      </c>
      <c r="F84" s="286"/>
      <c r="G84" s="286"/>
      <c r="H84" s="286"/>
      <c r="I84" s="286"/>
      <c r="J84" s="286"/>
      <c r="K84" s="287" t="s">
        <v>325</v>
      </c>
      <c r="L84" s="452">
        <v>7190750728</v>
      </c>
      <c r="M84" s="288">
        <v>6466102825</v>
      </c>
      <c r="N84" s="321"/>
    </row>
    <row r="85" spans="2:14" ht="43.5" hidden="1" customHeight="1" x14ac:dyDescent="0.25">
      <c r="B85" s="285" t="s">
        <v>1</v>
      </c>
      <c r="C85" s="286" t="s">
        <v>177</v>
      </c>
      <c r="D85" s="286" t="s">
        <v>49</v>
      </c>
      <c r="E85" s="286" t="s">
        <v>50</v>
      </c>
      <c r="F85" s="286" t="s">
        <v>216</v>
      </c>
      <c r="G85" s="286"/>
      <c r="H85" s="286"/>
      <c r="I85" s="286"/>
      <c r="J85" s="286"/>
      <c r="K85" s="287" t="s">
        <v>215</v>
      </c>
      <c r="L85" s="452">
        <v>7636006686</v>
      </c>
      <c r="M85" s="288">
        <v>7636006686</v>
      </c>
      <c r="N85" s="321"/>
    </row>
    <row r="86" spans="2:14" ht="25.5" hidden="1" customHeight="1" x14ac:dyDescent="0.25">
      <c r="B86" s="368" t="s">
        <v>1</v>
      </c>
      <c r="C86" s="369" t="s">
        <v>177</v>
      </c>
      <c r="D86" s="369" t="s">
        <v>49</v>
      </c>
      <c r="E86" s="369" t="s">
        <v>50</v>
      </c>
      <c r="F86" s="369" t="s">
        <v>216</v>
      </c>
      <c r="G86" s="369" t="s">
        <v>254</v>
      </c>
      <c r="H86" s="369"/>
      <c r="I86" s="369"/>
      <c r="J86" s="369"/>
      <c r="K86" s="287" t="s">
        <v>255</v>
      </c>
      <c r="L86" s="452">
        <f>+L87</f>
        <v>0</v>
      </c>
      <c r="M86" s="288">
        <f>+M87</f>
        <v>0</v>
      </c>
      <c r="N86" s="321"/>
    </row>
    <row r="87" spans="2:14" ht="25.5" hidden="1" customHeight="1" x14ac:dyDescent="0.25">
      <c r="B87" s="368" t="s">
        <v>1</v>
      </c>
      <c r="C87" s="369" t="s">
        <v>177</v>
      </c>
      <c r="D87" s="369" t="s">
        <v>49</v>
      </c>
      <c r="E87" s="369" t="s">
        <v>50</v>
      </c>
      <c r="F87" s="369" t="s">
        <v>216</v>
      </c>
      <c r="G87" s="369" t="s">
        <v>254</v>
      </c>
      <c r="H87" s="369" t="s">
        <v>17</v>
      </c>
      <c r="I87" s="369"/>
      <c r="J87" s="369"/>
      <c r="K87" s="370" t="s">
        <v>217</v>
      </c>
      <c r="L87" s="459"/>
      <c r="M87" s="371"/>
      <c r="N87" s="321"/>
    </row>
    <row r="88" spans="2:14" ht="15" hidden="1" customHeight="1" x14ac:dyDescent="0.25">
      <c r="B88" s="368" t="s">
        <v>1</v>
      </c>
      <c r="C88" s="369" t="s">
        <v>177</v>
      </c>
      <c r="D88" s="369" t="s">
        <v>49</v>
      </c>
      <c r="E88" s="369" t="s">
        <v>50</v>
      </c>
      <c r="F88" s="369" t="s">
        <v>216</v>
      </c>
      <c r="G88" s="369" t="s">
        <v>256</v>
      </c>
      <c r="H88" s="369"/>
      <c r="I88" s="369"/>
      <c r="J88" s="369"/>
      <c r="K88" s="287" t="s">
        <v>257</v>
      </c>
      <c r="L88" s="452">
        <f>+L89</f>
        <v>0</v>
      </c>
      <c r="M88" s="288">
        <f>+M89</f>
        <v>0</v>
      </c>
      <c r="N88" s="321"/>
    </row>
    <row r="89" spans="2:14" ht="15" hidden="1" customHeight="1" x14ac:dyDescent="0.25">
      <c r="B89" s="368" t="s">
        <v>1</v>
      </c>
      <c r="C89" s="369" t="s">
        <v>177</v>
      </c>
      <c r="D89" s="369" t="s">
        <v>49</v>
      </c>
      <c r="E89" s="369" t="s">
        <v>50</v>
      </c>
      <c r="F89" s="369" t="s">
        <v>216</v>
      </c>
      <c r="G89" s="369" t="s">
        <v>256</v>
      </c>
      <c r="H89" s="369" t="s">
        <v>17</v>
      </c>
      <c r="I89" s="369"/>
      <c r="J89" s="369"/>
      <c r="K89" s="370" t="s">
        <v>217</v>
      </c>
      <c r="L89" s="459"/>
      <c r="M89" s="371"/>
      <c r="N89" s="321"/>
    </row>
    <row r="90" spans="2:14" ht="41.25" hidden="1" customHeight="1" x14ac:dyDescent="0.25">
      <c r="B90" s="289" t="s">
        <v>1</v>
      </c>
      <c r="C90" s="290" t="s">
        <v>177</v>
      </c>
      <c r="D90" s="290" t="s">
        <v>258</v>
      </c>
      <c r="E90" s="290" t="s">
        <v>73</v>
      </c>
      <c r="F90" s="290" t="s">
        <v>216</v>
      </c>
      <c r="G90" s="290"/>
      <c r="H90" s="290"/>
      <c r="I90" s="290"/>
      <c r="J90" s="290"/>
      <c r="K90" s="291" t="s">
        <v>218</v>
      </c>
      <c r="L90" s="460">
        <v>6523730185</v>
      </c>
      <c r="M90" s="372">
        <v>6523730185</v>
      </c>
      <c r="N90" s="321"/>
    </row>
    <row r="91" spans="2:14" ht="15" customHeight="1" x14ac:dyDescent="0.25">
      <c r="B91" s="292"/>
      <c r="C91" s="293"/>
      <c r="D91" s="293"/>
      <c r="E91" s="293"/>
      <c r="F91" s="293"/>
      <c r="G91" s="293"/>
      <c r="H91" s="293"/>
      <c r="I91" s="293"/>
      <c r="J91" s="293"/>
      <c r="K91" s="294"/>
      <c r="L91" s="461"/>
      <c r="M91" s="295"/>
      <c r="N91" s="321"/>
    </row>
    <row r="92" spans="2:14" ht="25.5" x14ac:dyDescent="0.25">
      <c r="B92" s="281" t="s">
        <v>1</v>
      </c>
      <c r="C92" s="282" t="s">
        <v>179</v>
      </c>
      <c r="D92" s="282" t="s">
        <v>33</v>
      </c>
      <c r="E92" s="282" t="s">
        <v>33</v>
      </c>
      <c r="F92" s="282"/>
      <c r="G92" s="282"/>
      <c r="H92" s="282"/>
      <c r="I92" s="282"/>
      <c r="J92" s="282"/>
      <c r="K92" s="283" t="s">
        <v>219</v>
      </c>
      <c r="L92" s="451">
        <f>+L93</f>
        <v>22694043536</v>
      </c>
      <c r="M92" s="296" t="e">
        <f>+M93</f>
        <v>#REF!</v>
      </c>
      <c r="N92" s="321"/>
    </row>
    <row r="93" spans="2:14" x14ac:dyDescent="0.25">
      <c r="B93" s="281" t="s">
        <v>1</v>
      </c>
      <c r="C93" s="282" t="s">
        <v>179</v>
      </c>
      <c r="D93" s="282" t="s">
        <v>49</v>
      </c>
      <c r="E93" s="282"/>
      <c r="F93" s="282"/>
      <c r="G93" s="282"/>
      <c r="H93" s="282"/>
      <c r="I93" s="282"/>
      <c r="J93" s="282"/>
      <c r="K93" s="283" t="s">
        <v>180</v>
      </c>
      <c r="L93" s="451">
        <f>+L97+L101+L102</f>
        <v>22694043536</v>
      </c>
      <c r="M93" s="296" t="e">
        <f>+#REF!+M97+M102</f>
        <v>#REF!</v>
      </c>
      <c r="N93" s="321"/>
    </row>
    <row r="94" spans="2:14" ht="50.25" hidden="1" customHeight="1" x14ac:dyDescent="0.25">
      <c r="B94" s="285" t="s">
        <v>1</v>
      </c>
      <c r="C94" s="286" t="s">
        <v>179</v>
      </c>
      <c r="D94" s="286" t="s">
        <v>49</v>
      </c>
      <c r="E94" s="286" t="s">
        <v>58</v>
      </c>
      <c r="F94" s="286" t="s">
        <v>216</v>
      </c>
      <c r="G94" s="286"/>
      <c r="H94" s="286"/>
      <c r="I94" s="286"/>
      <c r="J94" s="286" t="s">
        <v>259</v>
      </c>
      <c r="K94" s="287" t="s">
        <v>220</v>
      </c>
      <c r="L94" s="452">
        <v>5545407747</v>
      </c>
      <c r="M94" s="297">
        <v>5545407747</v>
      </c>
      <c r="N94" s="321"/>
    </row>
    <row r="95" spans="2:14" ht="50.25" hidden="1" customHeight="1" x14ac:dyDescent="0.25">
      <c r="B95" s="285" t="s">
        <v>1</v>
      </c>
      <c r="C95" s="286" t="s">
        <v>179</v>
      </c>
      <c r="D95" s="286" t="s">
        <v>49</v>
      </c>
      <c r="E95" s="286" t="s">
        <v>58</v>
      </c>
      <c r="F95" s="286" t="s">
        <v>216</v>
      </c>
      <c r="G95" s="286"/>
      <c r="H95" s="286"/>
      <c r="I95" s="286"/>
      <c r="J95" s="286" t="s">
        <v>201</v>
      </c>
      <c r="K95" s="287" t="s">
        <v>220</v>
      </c>
      <c r="L95" s="452"/>
      <c r="M95" s="297"/>
      <c r="N95" s="321"/>
    </row>
    <row r="96" spans="2:14" ht="25.5" hidden="1" customHeight="1" x14ac:dyDescent="0.25">
      <c r="B96" s="368" t="s">
        <v>1</v>
      </c>
      <c r="C96" s="369" t="s">
        <v>179</v>
      </c>
      <c r="D96" s="369" t="s">
        <v>49</v>
      </c>
      <c r="E96" s="369" t="s">
        <v>58</v>
      </c>
      <c r="F96" s="369" t="s">
        <v>216</v>
      </c>
      <c r="G96" s="369"/>
      <c r="H96" s="369"/>
      <c r="I96" s="369"/>
      <c r="J96" s="369"/>
      <c r="K96" s="370"/>
      <c r="L96" s="459"/>
      <c r="M96" s="373"/>
      <c r="N96" s="321"/>
    </row>
    <row r="97" spans="2:14" ht="38.25" x14ac:dyDescent="0.25">
      <c r="B97" s="285" t="s">
        <v>1</v>
      </c>
      <c r="C97" s="286" t="s">
        <v>179</v>
      </c>
      <c r="D97" s="286" t="s">
        <v>49</v>
      </c>
      <c r="E97" s="286" t="s">
        <v>174</v>
      </c>
      <c r="F97" s="286"/>
      <c r="G97" s="286"/>
      <c r="H97" s="286"/>
      <c r="I97" s="286"/>
      <c r="J97" s="286"/>
      <c r="K97" s="287" t="s">
        <v>221</v>
      </c>
      <c r="L97" s="452">
        <v>5229923572</v>
      </c>
      <c r="M97" s="297">
        <f>+M98</f>
        <v>3192262258</v>
      </c>
      <c r="N97" s="321"/>
    </row>
    <row r="98" spans="2:14" ht="50.25" hidden="1" customHeight="1" x14ac:dyDescent="0.25">
      <c r="B98" s="285" t="s">
        <v>1</v>
      </c>
      <c r="C98" s="286" t="s">
        <v>179</v>
      </c>
      <c r="D98" s="286" t="s">
        <v>49</v>
      </c>
      <c r="E98" s="286" t="s">
        <v>174</v>
      </c>
      <c r="F98" s="286" t="s">
        <v>216</v>
      </c>
      <c r="G98" s="286"/>
      <c r="H98" s="286"/>
      <c r="I98" s="286"/>
      <c r="J98" s="286" t="s">
        <v>201</v>
      </c>
      <c r="K98" s="287" t="s">
        <v>221</v>
      </c>
      <c r="L98" s="452">
        <v>5229923572</v>
      </c>
      <c r="M98" s="297">
        <v>3192262258</v>
      </c>
      <c r="N98" s="321"/>
    </row>
    <row r="99" spans="2:14" ht="25.5" hidden="1" customHeight="1" x14ac:dyDescent="0.25">
      <c r="B99" s="368" t="s">
        <v>1</v>
      </c>
      <c r="C99" s="369" t="s">
        <v>179</v>
      </c>
      <c r="D99" s="369" t="s">
        <v>49</v>
      </c>
      <c r="E99" s="369" t="s">
        <v>174</v>
      </c>
      <c r="F99" s="369" t="s">
        <v>216</v>
      </c>
      <c r="G99" s="369" t="s">
        <v>260</v>
      </c>
      <c r="H99" s="369"/>
      <c r="I99" s="369"/>
      <c r="J99" s="369"/>
      <c r="K99" s="370" t="s">
        <v>261</v>
      </c>
      <c r="L99" s="459">
        <v>5229923572</v>
      </c>
      <c r="M99" s="373"/>
      <c r="N99" s="321"/>
    </row>
    <row r="100" spans="2:14" ht="15" hidden="1" customHeight="1" x14ac:dyDescent="0.25">
      <c r="B100" s="368" t="s">
        <v>1</v>
      </c>
      <c r="C100" s="369" t="s">
        <v>179</v>
      </c>
      <c r="D100" s="369" t="s">
        <v>49</v>
      </c>
      <c r="E100" s="369" t="s">
        <v>174</v>
      </c>
      <c r="F100" s="369" t="s">
        <v>216</v>
      </c>
      <c r="G100" s="369" t="s">
        <v>260</v>
      </c>
      <c r="H100" s="369" t="s">
        <v>17</v>
      </c>
      <c r="I100" s="369"/>
      <c r="J100" s="369"/>
      <c r="K100" s="370" t="s">
        <v>217</v>
      </c>
      <c r="L100" s="459"/>
      <c r="M100" s="373"/>
      <c r="N100" s="321"/>
    </row>
    <row r="101" spans="2:14" ht="51" x14ac:dyDescent="0.25">
      <c r="B101" s="285" t="s">
        <v>1</v>
      </c>
      <c r="C101" s="286" t="s">
        <v>179</v>
      </c>
      <c r="D101" s="286" t="s">
        <v>49</v>
      </c>
      <c r="E101" s="286" t="s">
        <v>337</v>
      </c>
      <c r="F101" s="369"/>
      <c r="G101" s="369"/>
      <c r="H101" s="369"/>
      <c r="I101" s="369"/>
      <c r="J101" s="369"/>
      <c r="K101" s="287" t="s">
        <v>326</v>
      </c>
      <c r="L101" s="452">
        <v>7654626542</v>
      </c>
      <c r="M101" s="373"/>
      <c r="N101" s="321"/>
    </row>
    <row r="102" spans="2:14" ht="51" x14ac:dyDescent="0.25">
      <c r="B102" s="285" t="s">
        <v>1</v>
      </c>
      <c r="C102" s="286" t="s">
        <v>179</v>
      </c>
      <c r="D102" s="286" t="s">
        <v>49</v>
      </c>
      <c r="E102" s="286" t="s">
        <v>337</v>
      </c>
      <c r="F102" s="286"/>
      <c r="G102" s="286"/>
      <c r="H102" s="286"/>
      <c r="I102" s="286"/>
      <c r="J102" s="286"/>
      <c r="K102" s="287" t="s">
        <v>326</v>
      </c>
      <c r="L102" s="452">
        <v>9809493422</v>
      </c>
      <c r="M102" s="297">
        <f>+M103</f>
        <v>2358397693</v>
      </c>
      <c r="N102" s="321"/>
    </row>
    <row r="103" spans="2:14" ht="41.25" hidden="1" customHeight="1" x14ac:dyDescent="0.25">
      <c r="B103" s="289" t="s">
        <v>1</v>
      </c>
      <c r="C103" s="290" t="s">
        <v>179</v>
      </c>
      <c r="D103" s="290" t="s">
        <v>49</v>
      </c>
      <c r="E103" s="290" t="s">
        <v>65</v>
      </c>
      <c r="F103" s="290" t="s">
        <v>216</v>
      </c>
      <c r="G103" s="290"/>
      <c r="H103" s="290"/>
      <c r="I103" s="290"/>
      <c r="J103" s="290" t="s">
        <v>201</v>
      </c>
      <c r="K103" s="291" t="s">
        <v>222</v>
      </c>
      <c r="L103" s="460">
        <v>2358397693</v>
      </c>
      <c r="M103" s="372">
        <v>2358397693</v>
      </c>
      <c r="N103" s="321"/>
    </row>
    <row r="104" spans="2:14" ht="51" hidden="1" customHeight="1" x14ac:dyDescent="0.25">
      <c r="B104" s="298" t="s">
        <v>1</v>
      </c>
      <c r="C104" s="299" t="s">
        <v>179</v>
      </c>
      <c r="D104" s="299" t="s">
        <v>49</v>
      </c>
      <c r="E104" s="299" t="s">
        <v>65</v>
      </c>
      <c r="F104" s="299" t="s">
        <v>216</v>
      </c>
      <c r="G104" s="299" t="s">
        <v>262</v>
      </c>
      <c r="H104" s="299"/>
      <c r="I104" s="299"/>
      <c r="J104" s="299"/>
      <c r="K104" s="300" t="s">
        <v>263</v>
      </c>
      <c r="L104" s="462">
        <f>+L105</f>
        <v>0</v>
      </c>
      <c r="M104" s="374">
        <f>+M105</f>
        <v>0</v>
      </c>
      <c r="N104" s="321"/>
    </row>
    <row r="105" spans="2:14" ht="25.5" hidden="1" customHeight="1" x14ac:dyDescent="0.25">
      <c r="B105" s="298" t="s">
        <v>1</v>
      </c>
      <c r="C105" s="299" t="s">
        <v>179</v>
      </c>
      <c r="D105" s="299" t="s">
        <v>49</v>
      </c>
      <c r="E105" s="299" t="s">
        <v>65</v>
      </c>
      <c r="F105" s="299" t="s">
        <v>216</v>
      </c>
      <c r="G105" s="299" t="s">
        <v>262</v>
      </c>
      <c r="H105" s="299" t="s">
        <v>17</v>
      </c>
      <c r="I105" s="299"/>
      <c r="J105" s="299"/>
      <c r="K105" s="301" t="s">
        <v>217</v>
      </c>
      <c r="L105" s="463"/>
      <c r="M105" s="375"/>
      <c r="N105" s="321"/>
    </row>
    <row r="106" spans="2:14" ht="89.25" hidden="1" customHeight="1" x14ac:dyDescent="0.25">
      <c r="B106" s="298" t="s">
        <v>1</v>
      </c>
      <c r="C106" s="299" t="s">
        <v>179</v>
      </c>
      <c r="D106" s="299" t="s">
        <v>49</v>
      </c>
      <c r="E106" s="299" t="s">
        <v>65</v>
      </c>
      <c r="F106" s="299" t="s">
        <v>216</v>
      </c>
      <c r="G106" s="299" t="s">
        <v>264</v>
      </c>
      <c r="H106" s="299"/>
      <c r="I106" s="299"/>
      <c r="J106" s="299"/>
      <c r="K106" s="300" t="s">
        <v>265</v>
      </c>
      <c r="L106" s="462">
        <f>+L107</f>
        <v>0</v>
      </c>
      <c r="M106" s="374">
        <f>+M107</f>
        <v>0</v>
      </c>
      <c r="N106" s="321"/>
    </row>
    <row r="107" spans="2:14" ht="15" hidden="1" customHeight="1" x14ac:dyDescent="0.25">
      <c r="B107" s="298" t="s">
        <v>1</v>
      </c>
      <c r="C107" s="299" t="s">
        <v>179</v>
      </c>
      <c r="D107" s="299" t="s">
        <v>49</v>
      </c>
      <c r="E107" s="299" t="s">
        <v>65</v>
      </c>
      <c r="F107" s="299" t="s">
        <v>216</v>
      </c>
      <c r="G107" s="299" t="s">
        <v>264</v>
      </c>
      <c r="H107" s="299" t="s">
        <v>17</v>
      </c>
      <c r="I107" s="299"/>
      <c r="J107" s="299"/>
      <c r="K107" s="301" t="s">
        <v>217</v>
      </c>
      <c r="L107" s="463"/>
      <c r="M107" s="375"/>
      <c r="N107" s="321"/>
    </row>
    <row r="108" spans="2:14" ht="15" customHeight="1" x14ac:dyDescent="0.25">
      <c r="B108" s="292"/>
      <c r="C108" s="293"/>
      <c r="D108" s="293"/>
      <c r="E108" s="293"/>
      <c r="F108" s="293"/>
      <c r="G108" s="293"/>
      <c r="H108" s="293"/>
      <c r="I108" s="293"/>
      <c r="J108" s="293"/>
      <c r="K108" s="294"/>
      <c r="L108" s="461"/>
      <c r="M108" s="295"/>
      <c r="N108" s="321"/>
    </row>
    <row r="109" spans="2:14" ht="25.5" customHeight="1" x14ac:dyDescent="0.25">
      <c r="B109" s="281" t="s">
        <v>1</v>
      </c>
      <c r="C109" s="282" t="s">
        <v>66</v>
      </c>
      <c r="D109" s="282" t="s">
        <v>33</v>
      </c>
      <c r="E109" s="282" t="s">
        <v>33</v>
      </c>
      <c r="F109" s="282"/>
      <c r="G109" s="282"/>
      <c r="H109" s="282"/>
      <c r="I109" s="282"/>
      <c r="J109" s="282"/>
      <c r="K109" s="283" t="s">
        <v>223</v>
      </c>
      <c r="L109" s="451">
        <f>+L110</f>
        <v>141833662545</v>
      </c>
      <c r="M109" s="296" t="e">
        <f>+M110</f>
        <v>#REF!</v>
      </c>
      <c r="N109" s="321"/>
    </row>
    <row r="110" spans="2:14" ht="15" customHeight="1" x14ac:dyDescent="0.25">
      <c r="B110" s="281" t="s">
        <v>1</v>
      </c>
      <c r="C110" s="282" t="s">
        <v>66</v>
      </c>
      <c r="D110" s="282" t="s">
        <v>49</v>
      </c>
      <c r="E110" s="282"/>
      <c r="F110" s="282"/>
      <c r="G110" s="282"/>
      <c r="H110" s="282"/>
      <c r="I110" s="282"/>
      <c r="J110" s="282"/>
      <c r="K110" s="283" t="s">
        <v>180</v>
      </c>
      <c r="L110" s="451">
        <f>+L137+L143+L144+L145+L146+L147+L149+L150+L158+L159+L148</f>
        <v>141833662545</v>
      </c>
      <c r="M110" s="296" t="e">
        <f>+M137+M143+M144+M145+M146+#REF!+#REF!+M147+M149+M150</f>
        <v>#REF!</v>
      </c>
      <c r="N110" s="321"/>
    </row>
    <row r="111" spans="2:14" ht="255" hidden="1" customHeight="1" x14ac:dyDescent="0.25">
      <c r="B111" s="281" t="s">
        <v>1</v>
      </c>
      <c r="C111" s="282" t="s">
        <v>66</v>
      </c>
      <c r="D111" s="282" t="s">
        <v>49</v>
      </c>
      <c r="E111" s="282" t="s">
        <v>39</v>
      </c>
      <c r="F111" s="282"/>
      <c r="G111" s="282"/>
      <c r="H111" s="282"/>
      <c r="I111" s="282"/>
      <c r="J111" s="282"/>
      <c r="K111" s="283" t="s">
        <v>266</v>
      </c>
      <c r="L111" s="451">
        <f>+L112</f>
        <v>0</v>
      </c>
      <c r="M111" s="296">
        <f>+M112</f>
        <v>0</v>
      </c>
      <c r="N111" s="321"/>
    </row>
    <row r="112" spans="2:14" ht="255" hidden="1" customHeight="1" x14ac:dyDescent="0.25">
      <c r="B112" s="289" t="s">
        <v>1</v>
      </c>
      <c r="C112" s="290" t="s">
        <v>66</v>
      </c>
      <c r="D112" s="290" t="s">
        <v>49</v>
      </c>
      <c r="E112" s="290" t="s">
        <v>39</v>
      </c>
      <c r="F112" s="290" t="s">
        <v>216</v>
      </c>
      <c r="G112" s="290"/>
      <c r="H112" s="290"/>
      <c r="I112" s="290"/>
      <c r="J112" s="290" t="s">
        <v>201</v>
      </c>
      <c r="K112" s="291" t="s">
        <v>266</v>
      </c>
      <c r="L112" s="460"/>
      <c r="M112" s="302"/>
      <c r="N112" s="321"/>
    </row>
    <row r="113" spans="2:14" ht="25.5" hidden="1" customHeight="1" x14ac:dyDescent="0.25">
      <c r="B113" s="298" t="s">
        <v>1</v>
      </c>
      <c r="C113" s="299" t="s">
        <v>66</v>
      </c>
      <c r="D113" s="299" t="s">
        <v>49</v>
      </c>
      <c r="E113" s="299" t="s">
        <v>39</v>
      </c>
      <c r="F113" s="299" t="s">
        <v>216</v>
      </c>
      <c r="G113" s="299" t="s">
        <v>267</v>
      </c>
      <c r="H113" s="299"/>
      <c r="I113" s="299"/>
      <c r="J113" s="299"/>
      <c r="K113" s="301" t="s">
        <v>268</v>
      </c>
      <c r="L113" s="463">
        <f>+L114</f>
        <v>0</v>
      </c>
      <c r="M113" s="303">
        <f>+M114</f>
        <v>0</v>
      </c>
      <c r="N113" s="321"/>
    </row>
    <row r="114" spans="2:14" ht="15" hidden="1" customHeight="1" x14ac:dyDescent="0.25">
      <c r="B114" s="298" t="s">
        <v>1</v>
      </c>
      <c r="C114" s="299" t="s">
        <v>66</v>
      </c>
      <c r="D114" s="299" t="s">
        <v>49</v>
      </c>
      <c r="E114" s="299" t="s">
        <v>39</v>
      </c>
      <c r="F114" s="299" t="s">
        <v>216</v>
      </c>
      <c r="G114" s="299" t="s">
        <v>267</v>
      </c>
      <c r="H114" s="299" t="s">
        <v>17</v>
      </c>
      <c r="I114" s="299"/>
      <c r="J114" s="299"/>
      <c r="K114" s="301" t="s">
        <v>217</v>
      </c>
      <c r="L114" s="463"/>
      <c r="M114" s="303"/>
      <c r="N114" s="321"/>
    </row>
    <row r="115" spans="2:14" ht="216.75" hidden="1" customHeight="1" x14ac:dyDescent="0.25">
      <c r="B115" s="281" t="s">
        <v>1</v>
      </c>
      <c r="C115" s="282" t="s">
        <v>66</v>
      </c>
      <c r="D115" s="282" t="s">
        <v>49</v>
      </c>
      <c r="E115" s="282" t="s">
        <v>259</v>
      </c>
      <c r="F115" s="282"/>
      <c r="G115" s="282"/>
      <c r="H115" s="282"/>
      <c r="I115" s="282"/>
      <c r="J115" s="282"/>
      <c r="K115" s="283" t="s">
        <v>269</v>
      </c>
      <c r="L115" s="451">
        <f>+L116</f>
        <v>0</v>
      </c>
      <c r="M115" s="296">
        <f>+M116</f>
        <v>0</v>
      </c>
      <c r="N115" s="321"/>
    </row>
    <row r="116" spans="2:14" ht="216.75" hidden="1" customHeight="1" x14ac:dyDescent="0.25">
      <c r="B116" s="289" t="s">
        <v>1</v>
      </c>
      <c r="C116" s="290" t="s">
        <v>66</v>
      </c>
      <c r="D116" s="290" t="s">
        <v>49</v>
      </c>
      <c r="E116" s="290" t="s">
        <v>259</v>
      </c>
      <c r="F116" s="290" t="s">
        <v>216</v>
      </c>
      <c r="G116" s="290"/>
      <c r="H116" s="290"/>
      <c r="I116" s="290"/>
      <c r="J116" s="290" t="s">
        <v>201</v>
      </c>
      <c r="K116" s="291" t="s">
        <v>269</v>
      </c>
      <c r="L116" s="460"/>
      <c r="M116" s="302"/>
      <c r="N116" s="321"/>
    </row>
    <row r="117" spans="2:14" ht="25.5" hidden="1" customHeight="1" x14ac:dyDescent="0.25">
      <c r="B117" s="298" t="s">
        <v>1</v>
      </c>
      <c r="C117" s="299" t="s">
        <v>66</v>
      </c>
      <c r="D117" s="299" t="s">
        <v>49</v>
      </c>
      <c r="E117" s="299" t="s">
        <v>259</v>
      </c>
      <c r="F117" s="299" t="s">
        <v>216</v>
      </c>
      <c r="G117" s="299" t="s">
        <v>270</v>
      </c>
      <c r="H117" s="299"/>
      <c r="I117" s="299"/>
      <c r="J117" s="299"/>
      <c r="K117" s="301" t="s">
        <v>271</v>
      </c>
      <c r="L117" s="463"/>
      <c r="M117" s="303"/>
      <c r="N117" s="321"/>
    </row>
    <row r="118" spans="2:14" ht="409.5" hidden="1" customHeight="1" x14ac:dyDescent="0.25">
      <c r="B118" s="298" t="s">
        <v>1</v>
      </c>
      <c r="C118" s="299" t="s">
        <v>66</v>
      </c>
      <c r="D118" s="299" t="s">
        <v>49</v>
      </c>
      <c r="E118" s="299" t="s">
        <v>259</v>
      </c>
      <c r="F118" s="299" t="s">
        <v>216</v>
      </c>
      <c r="G118" s="299" t="s">
        <v>270</v>
      </c>
      <c r="H118" s="299" t="s">
        <v>17</v>
      </c>
      <c r="I118" s="299"/>
      <c r="J118" s="299"/>
      <c r="K118" s="301" t="s">
        <v>217</v>
      </c>
      <c r="L118" s="463"/>
      <c r="M118" s="376"/>
      <c r="N118" s="321"/>
    </row>
    <row r="119" spans="2:14" ht="25.5" hidden="1" customHeight="1" x14ac:dyDescent="0.25">
      <c r="B119" s="281" t="s">
        <v>1</v>
      </c>
      <c r="C119" s="282" t="s">
        <v>66</v>
      </c>
      <c r="D119" s="282" t="s">
        <v>49</v>
      </c>
      <c r="E119" s="282" t="s">
        <v>272</v>
      </c>
      <c r="F119" s="282" t="s">
        <v>216</v>
      </c>
      <c r="G119" s="282"/>
      <c r="H119" s="282"/>
      <c r="I119" s="282"/>
      <c r="J119" s="282"/>
      <c r="K119" s="283" t="s">
        <v>273</v>
      </c>
      <c r="L119" s="451">
        <f>+L120</f>
        <v>0</v>
      </c>
      <c r="M119" s="296">
        <f>+M120</f>
        <v>0</v>
      </c>
      <c r="N119" s="321"/>
    </row>
    <row r="120" spans="2:14" ht="25.5" hidden="1" customHeight="1" x14ac:dyDescent="0.25">
      <c r="B120" s="289" t="s">
        <v>1</v>
      </c>
      <c r="C120" s="290" t="s">
        <v>66</v>
      </c>
      <c r="D120" s="290" t="s">
        <v>49</v>
      </c>
      <c r="E120" s="290" t="s">
        <v>272</v>
      </c>
      <c r="F120" s="290" t="s">
        <v>216</v>
      </c>
      <c r="G120" s="290"/>
      <c r="H120" s="290"/>
      <c r="I120" s="290"/>
      <c r="J120" s="290" t="s">
        <v>201</v>
      </c>
      <c r="K120" s="291" t="s">
        <v>273</v>
      </c>
      <c r="L120" s="460">
        <f>+L121</f>
        <v>0</v>
      </c>
      <c r="M120" s="302">
        <f>+M121</f>
        <v>0</v>
      </c>
      <c r="N120" s="321"/>
    </row>
    <row r="121" spans="2:14" ht="25.5" hidden="1" customHeight="1" x14ac:dyDescent="0.25">
      <c r="B121" s="298" t="s">
        <v>1</v>
      </c>
      <c r="C121" s="299" t="s">
        <v>66</v>
      </c>
      <c r="D121" s="299" t="s">
        <v>49</v>
      </c>
      <c r="E121" s="299" t="s">
        <v>272</v>
      </c>
      <c r="F121" s="299" t="s">
        <v>216</v>
      </c>
      <c r="G121" s="299" t="s">
        <v>270</v>
      </c>
      <c r="H121" s="299"/>
      <c r="I121" s="299"/>
      <c r="J121" s="299"/>
      <c r="K121" s="301" t="s">
        <v>271</v>
      </c>
      <c r="L121" s="463"/>
      <c r="M121" s="303"/>
      <c r="N121" s="321"/>
    </row>
    <row r="122" spans="2:14" ht="409.5" hidden="1" customHeight="1" x14ac:dyDescent="0.25">
      <c r="B122" s="298" t="s">
        <v>1</v>
      </c>
      <c r="C122" s="299" t="s">
        <v>66</v>
      </c>
      <c r="D122" s="299" t="s">
        <v>49</v>
      </c>
      <c r="E122" s="299" t="s">
        <v>272</v>
      </c>
      <c r="F122" s="299" t="s">
        <v>216</v>
      </c>
      <c r="G122" s="299" t="s">
        <v>270</v>
      </c>
      <c r="H122" s="299" t="s">
        <v>17</v>
      </c>
      <c r="I122" s="299"/>
      <c r="J122" s="299"/>
      <c r="K122" s="301" t="s">
        <v>217</v>
      </c>
      <c r="L122" s="463"/>
      <c r="M122" s="376"/>
      <c r="N122" s="321"/>
    </row>
    <row r="123" spans="2:14" ht="178.5" hidden="1" customHeight="1" x14ac:dyDescent="0.25">
      <c r="B123" s="281" t="s">
        <v>1</v>
      </c>
      <c r="C123" s="282" t="s">
        <v>66</v>
      </c>
      <c r="D123" s="282" t="s">
        <v>49</v>
      </c>
      <c r="E123" s="282" t="s">
        <v>274</v>
      </c>
      <c r="F123" s="282"/>
      <c r="G123" s="282"/>
      <c r="H123" s="282"/>
      <c r="I123" s="282"/>
      <c r="J123" s="282"/>
      <c r="K123" s="283" t="s">
        <v>275</v>
      </c>
      <c r="L123" s="451">
        <f>+L124+L125</f>
        <v>0</v>
      </c>
      <c r="M123" s="296">
        <f>+M124+M125</f>
        <v>0</v>
      </c>
      <c r="N123" s="321"/>
    </row>
    <row r="124" spans="2:14" ht="178.5" hidden="1" customHeight="1" x14ac:dyDescent="0.25">
      <c r="B124" s="289" t="s">
        <v>1</v>
      </c>
      <c r="C124" s="290" t="s">
        <v>66</v>
      </c>
      <c r="D124" s="290" t="s">
        <v>49</v>
      </c>
      <c r="E124" s="290" t="s">
        <v>274</v>
      </c>
      <c r="F124" s="290" t="s">
        <v>216</v>
      </c>
      <c r="G124" s="290"/>
      <c r="H124" s="290"/>
      <c r="I124" s="290"/>
      <c r="J124" s="290" t="s">
        <v>201</v>
      </c>
      <c r="K124" s="291" t="s">
        <v>275</v>
      </c>
      <c r="L124" s="460"/>
      <c r="M124" s="302"/>
      <c r="N124" s="321"/>
    </row>
    <row r="125" spans="2:14" ht="178.5" hidden="1" customHeight="1" x14ac:dyDescent="0.25">
      <c r="B125" s="289" t="s">
        <v>1</v>
      </c>
      <c r="C125" s="290" t="s">
        <v>66</v>
      </c>
      <c r="D125" s="290" t="s">
        <v>49</v>
      </c>
      <c r="E125" s="290" t="s">
        <v>274</v>
      </c>
      <c r="F125" s="290" t="s">
        <v>216</v>
      </c>
      <c r="G125" s="290"/>
      <c r="H125" s="290"/>
      <c r="I125" s="290"/>
      <c r="J125" s="290" t="s">
        <v>224</v>
      </c>
      <c r="K125" s="291" t="s">
        <v>275</v>
      </c>
      <c r="L125" s="460"/>
      <c r="M125" s="302"/>
      <c r="N125" s="321"/>
    </row>
    <row r="126" spans="2:14" ht="25.5" hidden="1" customHeight="1" x14ac:dyDescent="0.25">
      <c r="B126" s="298" t="s">
        <v>1</v>
      </c>
      <c r="C126" s="299" t="s">
        <v>66</v>
      </c>
      <c r="D126" s="299" t="s">
        <v>49</v>
      </c>
      <c r="E126" s="299" t="s">
        <v>274</v>
      </c>
      <c r="F126" s="299" t="s">
        <v>216</v>
      </c>
      <c r="G126" s="299" t="s">
        <v>270</v>
      </c>
      <c r="H126" s="299"/>
      <c r="I126" s="299"/>
      <c r="J126" s="299"/>
      <c r="K126" s="301" t="s">
        <v>271</v>
      </c>
      <c r="L126" s="463">
        <f>+L127</f>
        <v>0</v>
      </c>
      <c r="M126" s="303">
        <f>+M127</f>
        <v>0</v>
      </c>
      <c r="N126" s="321"/>
    </row>
    <row r="127" spans="2:14" ht="15" hidden="1" customHeight="1" x14ac:dyDescent="0.25">
      <c r="B127" s="298" t="s">
        <v>1</v>
      </c>
      <c r="C127" s="299" t="s">
        <v>66</v>
      </c>
      <c r="D127" s="299" t="s">
        <v>49</v>
      </c>
      <c r="E127" s="299" t="s">
        <v>274</v>
      </c>
      <c r="F127" s="299" t="s">
        <v>216</v>
      </c>
      <c r="G127" s="299" t="s">
        <v>270</v>
      </c>
      <c r="H127" s="299" t="s">
        <v>17</v>
      </c>
      <c r="I127" s="299"/>
      <c r="J127" s="299"/>
      <c r="K127" s="301" t="s">
        <v>217</v>
      </c>
      <c r="L127" s="463"/>
      <c r="M127" s="303"/>
      <c r="N127" s="321"/>
    </row>
    <row r="128" spans="2:14" ht="114.75" hidden="1" customHeight="1" x14ac:dyDescent="0.25">
      <c r="B128" s="281" t="s">
        <v>1</v>
      </c>
      <c r="C128" s="282" t="s">
        <v>66</v>
      </c>
      <c r="D128" s="282" t="s">
        <v>49</v>
      </c>
      <c r="E128" s="282" t="s">
        <v>276</v>
      </c>
      <c r="F128" s="282"/>
      <c r="G128" s="282"/>
      <c r="H128" s="282"/>
      <c r="I128" s="282"/>
      <c r="J128" s="282"/>
      <c r="K128" s="283" t="s">
        <v>277</v>
      </c>
      <c r="L128" s="451">
        <f>+L129</f>
        <v>0</v>
      </c>
      <c r="M128" s="296">
        <f>+M129</f>
        <v>0</v>
      </c>
      <c r="N128" s="321"/>
    </row>
    <row r="129" spans="2:14" ht="114.75" hidden="1" customHeight="1" x14ac:dyDescent="0.25">
      <c r="B129" s="289" t="s">
        <v>1</v>
      </c>
      <c r="C129" s="290" t="s">
        <v>66</v>
      </c>
      <c r="D129" s="290" t="s">
        <v>49</v>
      </c>
      <c r="E129" s="290" t="s">
        <v>276</v>
      </c>
      <c r="F129" s="290" t="s">
        <v>216</v>
      </c>
      <c r="G129" s="290"/>
      <c r="H129" s="290"/>
      <c r="I129" s="290"/>
      <c r="J129" s="290" t="s">
        <v>201</v>
      </c>
      <c r="K129" s="291" t="s">
        <v>277</v>
      </c>
      <c r="L129" s="460"/>
      <c r="M129" s="302"/>
      <c r="N129" s="321"/>
    </row>
    <row r="130" spans="2:14" ht="25.5" hidden="1" customHeight="1" x14ac:dyDescent="0.25">
      <c r="B130" s="298" t="s">
        <v>1</v>
      </c>
      <c r="C130" s="299" t="s">
        <v>66</v>
      </c>
      <c r="D130" s="299" t="s">
        <v>49</v>
      </c>
      <c r="E130" s="299" t="s">
        <v>276</v>
      </c>
      <c r="F130" s="299" t="s">
        <v>216</v>
      </c>
      <c r="G130" s="299" t="s">
        <v>278</v>
      </c>
      <c r="H130" s="299"/>
      <c r="I130" s="299"/>
      <c r="J130" s="299"/>
      <c r="K130" s="301" t="s">
        <v>279</v>
      </c>
      <c r="L130" s="463">
        <f>+L131</f>
        <v>0</v>
      </c>
      <c r="M130" s="303">
        <f>+M131</f>
        <v>0</v>
      </c>
      <c r="N130" s="321"/>
    </row>
    <row r="131" spans="2:14" ht="15" hidden="1" customHeight="1" x14ac:dyDescent="0.25">
      <c r="B131" s="298" t="s">
        <v>1</v>
      </c>
      <c r="C131" s="299" t="s">
        <v>66</v>
      </c>
      <c r="D131" s="299" t="s">
        <v>49</v>
      </c>
      <c r="E131" s="299" t="s">
        <v>276</v>
      </c>
      <c r="F131" s="299" t="s">
        <v>216</v>
      </c>
      <c r="G131" s="299" t="s">
        <v>278</v>
      </c>
      <c r="H131" s="299" t="s">
        <v>17</v>
      </c>
      <c r="I131" s="299"/>
      <c r="J131" s="299"/>
      <c r="K131" s="301" t="s">
        <v>217</v>
      </c>
      <c r="L131" s="463"/>
      <c r="M131" s="303"/>
      <c r="N131" s="321"/>
    </row>
    <row r="132" spans="2:14" ht="165.75" hidden="1" customHeight="1" x14ac:dyDescent="0.25">
      <c r="B132" s="281" t="s">
        <v>1</v>
      </c>
      <c r="C132" s="282" t="s">
        <v>66</v>
      </c>
      <c r="D132" s="282" t="s">
        <v>49</v>
      </c>
      <c r="E132" s="282" t="s">
        <v>280</v>
      </c>
      <c r="F132" s="282"/>
      <c r="G132" s="282"/>
      <c r="H132" s="282"/>
      <c r="I132" s="282"/>
      <c r="J132" s="282"/>
      <c r="K132" s="283" t="s">
        <v>281</v>
      </c>
      <c r="L132" s="451">
        <f>+L133</f>
        <v>0</v>
      </c>
      <c r="M132" s="296">
        <f>+M133</f>
        <v>0</v>
      </c>
      <c r="N132" s="321"/>
    </row>
    <row r="133" spans="2:14" ht="40.5" hidden="1" customHeight="1" x14ac:dyDescent="0.25">
      <c r="B133" s="289" t="s">
        <v>1</v>
      </c>
      <c r="C133" s="290" t="s">
        <v>66</v>
      </c>
      <c r="D133" s="290" t="s">
        <v>49</v>
      </c>
      <c r="E133" s="290" t="s">
        <v>280</v>
      </c>
      <c r="F133" s="290" t="s">
        <v>216</v>
      </c>
      <c r="G133" s="290"/>
      <c r="H133" s="290"/>
      <c r="I133" s="290"/>
      <c r="J133" s="290" t="s">
        <v>224</v>
      </c>
      <c r="K133" s="291" t="s">
        <v>281</v>
      </c>
      <c r="L133" s="460">
        <f>+L134</f>
        <v>0</v>
      </c>
      <c r="M133" s="302">
        <f>+M134</f>
        <v>0</v>
      </c>
      <c r="N133" s="321"/>
    </row>
    <row r="134" spans="2:14" ht="25.5" hidden="1" customHeight="1" x14ac:dyDescent="0.25">
      <c r="B134" s="298" t="s">
        <v>1</v>
      </c>
      <c r="C134" s="299" t="s">
        <v>66</v>
      </c>
      <c r="D134" s="299" t="s">
        <v>49</v>
      </c>
      <c r="E134" s="299" t="s">
        <v>280</v>
      </c>
      <c r="F134" s="299" t="s">
        <v>216</v>
      </c>
      <c r="G134" s="299" t="s">
        <v>270</v>
      </c>
      <c r="H134" s="299"/>
      <c r="I134" s="299"/>
      <c r="J134" s="299"/>
      <c r="K134" s="301" t="s">
        <v>271</v>
      </c>
      <c r="L134" s="463"/>
      <c r="M134" s="303"/>
      <c r="N134" s="321"/>
    </row>
    <row r="135" spans="2:14" ht="63.75" hidden="1" customHeight="1" x14ac:dyDescent="0.25">
      <c r="B135" s="298" t="s">
        <v>1</v>
      </c>
      <c r="C135" s="299" t="s">
        <v>66</v>
      </c>
      <c r="D135" s="299" t="s">
        <v>49</v>
      </c>
      <c r="E135" s="299" t="s">
        <v>280</v>
      </c>
      <c r="F135" s="299" t="s">
        <v>216</v>
      </c>
      <c r="G135" s="299" t="s">
        <v>270</v>
      </c>
      <c r="H135" s="299" t="s">
        <v>17</v>
      </c>
      <c r="I135" s="299"/>
      <c r="J135" s="299" t="s">
        <v>224</v>
      </c>
      <c r="K135" s="301" t="s">
        <v>217</v>
      </c>
      <c r="L135" s="463"/>
      <c r="M135" s="376"/>
      <c r="N135" s="321"/>
    </row>
    <row r="136" spans="2:14" ht="48" hidden="1" customHeight="1" x14ac:dyDescent="0.25">
      <c r="B136" s="298" t="s">
        <v>1</v>
      </c>
      <c r="C136" s="299" t="s">
        <v>66</v>
      </c>
      <c r="D136" s="299" t="s">
        <v>49</v>
      </c>
      <c r="E136" s="299" t="s">
        <v>280</v>
      </c>
      <c r="F136" s="299" t="s">
        <v>216</v>
      </c>
      <c r="G136" s="299" t="s">
        <v>270</v>
      </c>
      <c r="H136" s="299" t="s">
        <v>17</v>
      </c>
      <c r="I136" s="299"/>
      <c r="J136" s="299"/>
      <c r="K136" s="301" t="s">
        <v>217</v>
      </c>
      <c r="L136" s="463"/>
      <c r="M136" s="303"/>
      <c r="N136" s="321"/>
    </row>
    <row r="137" spans="2:14" ht="25.5" x14ac:dyDescent="0.25">
      <c r="B137" s="285" t="s">
        <v>1</v>
      </c>
      <c r="C137" s="286" t="s">
        <v>66</v>
      </c>
      <c r="D137" s="286" t="s">
        <v>49</v>
      </c>
      <c r="E137" s="286" t="s">
        <v>181</v>
      </c>
      <c r="F137" s="286"/>
      <c r="G137" s="286"/>
      <c r="H137" s="286"/>
      <c r="I137" s="286"/>
      <c r="J137" s="286"/>
      <c r="K137" s="287" t="s">
        <v>327</v>
      </c>
      <c r="L137" s="452">
        <v>2729873343</v>
      </c>
      <c r="M137" s="297">
        <f>+M138</f>
        <v>4980831756</v>
      </c>
      <c r="N137" s="321"/>
    </row>
    <row r="138" spans="2:14" ht="25.5" hidden="1" x14ac:dyDescent="0.25">
      <c r="B138" s="285" t="s">
        <v>1</v>
      </c>
      <c r="C138" s="286" t="s">
        <v>66</v>
      </c>
      <c r="D138" s="286" t="s">
        <v>49</v>
      </c>
      <c r="E138" s="286" t="s">
        <v>181</v>
      </c>
      <c r="F138" s="286" t="s">
        <v>216</v>
      </c>
      <c r="G138" s="286"/>
      <c r="H138" s="286"/>
      <c r="I138" s="286"/>
      <c r="J138" s="286" t="s">
        <v>201</v>
      </c>
      <c r="K138" s="287" t="s">
        <v>282</v>
      </c>
      <c r="L138" s="452">
        <v>4980831756</v>
      </c>
      <c r="M138" s="297">
        <v>4980831756</v>
      </c>
      <c r="N138" s="321"/>
    </row>
    <row r="139" spans="2:14" hidden="1" x14ac:dyDescent="0.25">
      <c r="B139" s="285" t="s">
        <v>1</v>
      </c>
      <c r="C139" s="286" t="s">
        <v>66</v>
      </c>
      <c r="D139" s="286" t="s">
        <v>49</v>
      </c>
      <c r="E139" s="286" t="s">
        <v>181</v>
      </c>
      <c r="F139" s="286" t="s">
        <v>216</v>
      </c>
      <c r="G139" s="286"/>
      <c r="H139" s="286"/>
      <c r="I139" s="286"/>
      <c r="J139" s="286"/>
      <c r="K139" s="287" t="s">
        <v>225</v>
      </c>
      <c r="L139" s="452">
        <f>+L140</f>
        <v>0</v>
      </c>
      <c r="M139" s="297">
        <f>+M140</f>
        <v>0</v>
      </c>
      <c r="N139" s="321"/>
    </row>
    <row r="140" spans="2:14" hidden="1" x14ac:dyDescent="0.25">
      <c r="B140" s="368" t="s">
        <v>1</v>
      </c>
      <c r="C140" s="369" t="s">
        <v>66</v>
      </c>
      <c r="D140" s="369" t="s">
        <v>49</v>
      </c>
      <c r="E140" s="369" t="s">
        <v>181</v>
      </c>
      <c r="F140" s="369" t="s">
        <v>216</v>
      </c>
      <c r="G140" s="369"/>
      <c r="H140" s="369" t="s">
        <v>17</v>
      </c>
      <c r="I140" s="369"/>
      <c r="J140" s="369"/>
      <c r="K140" s="370" t="s">
        <v>217</v>
      </c>
      <c r="L140" s="459"/>
      <c r="M140" s="373"/>
      <c r="N140" s="321"/>
    </row>
    <row r="141" spans="2:14" hidden="1" x14ac:dyDescent="0.25">
      <c r="B141" s="285" t="s">
        <v>1</v>
      </c>
      <c r="C141" s="286" t="s">
        <v>66</v>
      </c>
      <c r="D141" s="286" t="s">
        <v>49</v>
      </c>
      <c r="E141" s="286" t="s">
        <v>181</v>
      </c>
      <c r="F141" s="286" t="s">
        <v>216</v>
      </c>
      <c r="G141" s="286"/>
      <c r="H141" s="286"/>
      <c r="I141" s="286"/>
      <c r="J141" s="286"/>
      <c r="K141" s="287" t="s">
        <v>283</v>
      </c>
      <c r="L141" s="452">
        <f>+L142</f>
        <v>0</v>
      </c>
      <c r="M141" s="297">
        <f>+M142</f>
        <v>0</v>
      </c>
      <c r="N141" s="321"/>
    </row>
    <row r="142" spans="2:14" hidden="1" x14ac:dyDescent="0.25">
      <c r="B142" s="368" t="s">
        <v>1</v>
      </c>
      <c r="C142" s="369" t="s">
        <v>66</v>
      </c>
      <c r="D142" s="369" t="s">
        <v>49</v>
      </c>
      <c r="E142" s="369" t="s">
        <v>181</v>
      </c>
      <c r="F142" s="369" t="s">
        <v>216</v>
      </c>
      <c r="G142" s="369"/>
      <c r="H142" s="369" t="s">
        <v>17</v>
      </c>
      <c r="I142" s="369"/>
      <c r="J142" s="369"/>
      <c r="K142" s="370" t="s">
        <v>217</v>
      </c>
      <c r="L142" s="459"/>
      <c r="M142" s="373"/>
      <c r="N142" s="321"/>
    </row>
    <row r="143" spans="2:14" ht="25.5" x14ac:dyDescent="0.25">
      <c r="B143" s="285" t="s">
        <v>1</v>
      </c>
      <c r="C143" s="286" t="s">
        <v>66</v>
      </c>
      <c r="D143" s="286" t="s">
        <v>49</v>
      </c>
      <c r="E143" s="286" t="s">
        <v>226</v>
      </c>
      <c r="F143" s="286"/>
      <c r="G143" s="286"/>
      <c r="H143" s="286"/>
      <c r="I143" s="286"/>
      <c r="J143" s="286"/>
      <c r="K143" s="287" t="s">
        <v>328</v>
      </c>
      <c r="L143" s="452">
        <v>2705480627</v>
      </c>
      <c r="M143" s="297">
        <v>2626680220</v>
      </c>
      <c r="N143" s="321"/>
    </row>
    <row r="144" spans="2:14" ht="51" x14ac:dyDescent="0.25">
      <c r="B144" s="285" t="s">
        <v>1</v>
      </c>
      <c r="C144" s="286" t="s">
        <v>66</v>
      </c>
      <c r="D144" s="286" t="s">
        <v>49</v>
      </c>
      <c r="E144" s="286" t="s">
        <v>201</v>
      </c>
      <c r="F144" s="286"/>
      <c r="G144" s="286"/>
      <c r="H144" s="286"/>
      <c r="I144" s="286"/>
      <c r="J144" s="286"/>
      <c r="K144" s="287" t="s">
        <v>330</v>
      </c>
      <c r="L144" s="452">
        <v>2463318774</v>
      </c>
      <c r="M144" s="297">
        <v>2343785703</v>
      </c>
      <c r="N144" s="321"/>
    </row>
    <row r="145" spans="2:14" ht="38.25" x14ac:dyDescent="0.25">
      <c r="B145" s="285" t="s">
        <v>1</v>
      </c>
      <c r="C145" s="286" t="s">
        <v>66</v>
      </c>
      <c r="D145" s="286" t="s">
        <v>49</v>
      </c>
      <c r="E145" s="286" t="s">
        <v>224</v>
      </c>
      <c r="F145" s="286"/>
      <c r="G145" s="286"/>
      <c r="H145" s="286"/>
      <c r="I145" s="286"/>
      <c r="J145" s="286"/>
      <c r="K145" s="287" t="s">
        <v>290</v>
      </c>
      <c r="L145" s="452">
        <v>15074953812</v>
      </c>
      <c r="M145" s="297">
        <v>3500000000</v>
      </c>
      <c r="N145" s="321"/>
    </row>
    <row r="146" spans="2:14" ht="38.25" x14ac:dyDescent="0.25">
      <c r="B146" s="285" t="s">
        <v>1</v>
      </c>
      <c r="C146" s="286" t="s">
        <v>66</v>
      </c>
      <c r="D146" s="286" t="s">
        <v>49</v>
      </c>
      <c r="E146" s="286" t="s">
        <v>227</v>
      </c>
      <c r="F146" s="286"/>
      <c r="G146" s="286"/>
      <c r="H146" s="286"/>
      <c r="I146" s="286"/>
      <c r="J146" s="286"/>
      <c r="K146" s="287" t="s">
        <v>331</v>
      </c>
      <c r="L146" s="452">
        <v>2776747295</v>
      </c>
      <c r="M146" s="297">
        <v>2559000000</v>
      </c>
      <c r="N146" s="321"/>
    </row>
    <row r="147" spans="2:14" ht="38.25" x14ac:dyDescent="0.25">
      <c r="B147" s="285" t="s">
        <v>1</v>
      </c>
      <c r="C147" s="286" t="s">
        <v>66</v>
      </c>
      <c r="D147" s="286" t="s">
        <v>49</v>
      </c>
      <c r="E147" s="286" t="s">
        <v>228</v>
      </c>
      <c r="F147" s="286"/>
      <c r="G147" s="286"/>
      <c r="H147" s="286"/>
      <c r="I147" s="286"/>
      <c r="J147" s="286"/>
      <c r="K147" s="287" t="s">
        <v>332</v>
      </c>
      <c r="L147" s="452">
        <v>1445573036</v>
      </c>
      <c r="M147" s="297">
        <v>12166858246</v>
      </c>
      <c r="N147" s="321"/>
    </row>
    <row r="148" spans="2:14" ht="38.25" x14ac:dyDescent="0.25">
      <c r="B148" s="285" t="s">
        <v>1</v>
      </c>
      <c r="C148" s="286" t="s">
        <v>66</v>
      </c>
      <c r="D148" s="286" t="s">
        <v>49</v>
      </c>
      <c r="E148" s="286" t="s">
        <v>228</v>
      </c>
      <c r="F148" s="286"/>
      <c r="G148" s="286"/>
      <c r="H148" s="286"/>
      <c r="I148" s="286"/>
      <c r="J148" s="286"/>
      <c r="K148" s="287" t="s">
        <v>332</v>
      </c>
      <c r="L148" s="452">
        <v>12404700314</v>
      </c>
      <c r="M148" s="297"/>
      <c r="N148" s="321"/>
    </row>
    <row r="149" spans="2:14" ht="25.5" x14ac:dyDescent="0.25">
      <c r="B149" s="285" t="s">
        <v>1</v>
      </c>
      <c r="C149" s="286" t="s">
        <v>66</v>
      </c>
      <c r="D149" s="286" t="s">
        <v>49</v>
      </c>
      <c r="E149" s="286" t="s">
        <v>229</v>
      </c>
      <c r="F149" s="286"/>
      <c r="G149" s="286"/>
      <c r="H149" s="286"/>
      <c r="I149" s="286"/>
      <c r="J149" s="286"/>
      <c r="K149" s="287" t="s">
        <v>338</v>
      </c>
      <c r="L149" s="452">
        <v>29311405164</v>
      </c>
      <c r="M149" s="297">
        <v>10719174518</v>
      </c>
      <c r="N149" s="321"/>
    </row>
    <row r="150" spans="2:14" ht="38.25" x14ac:dyDescent="0.25">
      <c r="B150" s="285" t="s">
        <v>1</v>
      </c>
      <c r="C150" s="286" t="s">
        <v>66</v>
      </c>
      <c r="D150" s="286" t="s">
        <v>49</v>
      </c>
      <c r="E150" s="286" t="s">
        <v>231</v>
      </c>
      <c r="F150" s="286"/>
      <c r="G150" s="286"/>
      <c r="H150" s="286"/>
      <c r="I150" s="286"/>
      <c r="J150" s="286"/>
      <c r="K150" s="287" t="s">
        <v>334</v>
      </c>
      <c r="L150" s="452">
        <v>62364503290</v>
      </c>
      <c r="M150" s="297">
        <v>55149740156</v>
      </c>
      <c r="N150" s="321"/>
    </row>
    <row r="151" spans="2:14" ht="47.25" hidden="1" customHeight="1" x14ac:dyDescent="0.25">
      <c r="B151" s="289" t="s">
        <v>1</v>
      </c>
      <c r="C151" s="290" t="s">
        <v>66</v>
      </c>
      <c r="D151" s="290" t="s">
        <v>49</v>
      </c>
      <c r="E151" s="290" t="s">
        <v>169</v>
      </c>
      <c r="F151" s="290" t="s">
        <v>216</v>
      </c>
      <c r="G151" s="290"/>
      <c r="H151" s="290"/>
      <c r="I151" s="290"/>
      <c r="J151" s="290" t="s">
        <v>0</v>
      </c>
      <c r="K151" s="291" t="s">
        <v>232</v>
      </c>
      <c r="L151" s="460">
        <v>62364503290</v>
      </c>
      <c r="M151" s="302"/>
      <c r="N151" s="321"/>
    </row>
    <row r="152" spans="2:14" ht="17.25" hidden="1" x14ac:dyDescent="0.25">
      <c r="B152" s="304" t="s">
        <v>1</v>
      </c>
      <c r="C152" s="305" t="s">
        <v>66</v>
      </c>
      <c r="D152" s="305" t="s">
        <v>49</v>
      </c>
      <c r="E152" s="305" t="s">
        <v>169</v>
      </c>
      <c r="F152" s="305" t="s">
        <v>216</v>
      </c>
      <c r="G152" s="305"/>
      <c r="H152" s="305"/>
      <c r="I152" s="305"/>
      <c r="J152" s="305"/>
      <c r="K152" s="300" t="s">
        <v>225</v>
      </c>
      <c r="L152" s="462">
        <f>+L153</f>
        <v>0</v>
      </c>
      <c r="M152" s="306">
        <f>+M153</f>
        <v>0</v>
      </c>
      <c r="N152" s="366"/>
    </row>
    <row r="153" spans="2:14" ht="17.25" hidden="1" x14ac:dyDescent="0.25">
      <c r="B153" s="298" t="s">
        <v>1</v>
      </c>
      <c r="C153" s="299" t="s">
        <v>66</v>
      </c>
      <c r="D153" s="299" t="s">
        <v>49</v>
      </c>
      <c r="E153" s="299" t="s">
        <v>169</v>
      </c>
      <c r="F153" s="299" t="s">
        <v>216</v>
      </c>
      <c r="G153" s="299"/>
      <c r="H153" s="299" t="s">
        <v>17</v>
      </c>
      <c r="I153" s="299"/>
      <c r="J153" s="299" t="s">
        <v>201</v>
      </c>
      <c r="K153" s="301" t="s">
        <v>217</v>
      </c>
      <c r="L153" s="463"/>
      <c r="M153" s="303"/>
      <c r="N153" s="366"/>
    </row>
    <row r="154" spans="2:14" hidden="1" x14ac:dyDescent="0.25">
      <c r="B154" s="304" t="s">
        <v>1</v>
      </c>
      <c r="C154" s="305" t="s">
        <v>66</v>
      </c>
      <c r="D154" s="305" t="s">
        <v>49</v>
      </c>
      <c r="E154" s="305" t="s">
        <v>169</v>
      </c>
      <c r="F154" s="305" t="s">
        <v>216</v>
      </c>
      <c r="G154" s="305"/>
      <c r="H154" s="305"/>
      <c r="I154" s="305"/>
      <c r="J154" s="305"/>
      <c r="K154" s="300" t="s">
        <v>233</v>
      </c>
      <c r="L154" s="462">
        <f>+L155</f>
        <v>0</v>
      </c>
      <c r="M154" s="306">
        <f>+M155</f>
        <v>0</v>
      </c>
    </row>
    <row r="155" spans="2:14" hidden="1" x14ac:dyDescent="0.25">
      <c r="B155" s="298" t="s">
        <v>1</v>
      </c>
      <c r="C155" s="299" t="s">
        <v>66</v>
      </c>
      <c r="D155" s="299" t="s">
        <v>49</v>
      </c>
      <c r="E155" s="299" t="s">
        <v>169</v>
      </c>
      <c r="F155" s="299" t="s">
        <v>216</v>
      </c>
      <c r="G155" s="299"/>
      <c r="H155" s="299" t="s">
        <v>17</v>
      </c>
      <c r="I155" s="299"/>
      <c r="J155" s="299" t="s">
        <v>201</v>
      </c>
      <c r="K155" s="301" t="s">
        <v>217</v>
      </c>
      <c r="L155" s="463"/>
      <c r="M155" s="303"/>
    </row>
    <row r="156" spans="2:14" ht="25.5" hidden="1" x14ac:dyDescent="0.25">
      <c r="B156" s="304" t="s">
        <v>1</v>
      </c>
      <c r="C156" s="305" t="s">
        <v>66</v>
      </c>
      <c r="D156" s="305" t="s">
        <v>49</v>
      </c>
      <c r="E156" s="305" t="s">
        <v>169</v>
      </c>
      <c r="F156" s="305" t="s">
        <v>216</v>
      </c>
      <c r="G156" s="305"/>
      <c r="H156" s="305"/>
      <c r="I156" s="305"/>
      <c r="J156" s="305"/>
      <c r="K156" s="300" t="s">
        <v>234</v>
      </c>
      <c r="L156" s="462">
        <f>+L157</f>
        <v>0</v>
      </c>
      <c r="M156" s="303">
        <f>+M157</f>
        <v>0</v>
      </c>
    </row>
    <row r="157" spans="2:14" hidden="1" x14ac:dyDescent="0.25">
      <c r="B157" s="298" t="s">
        <v>1</v>
      </c>
      <c r="C157" s="299" t="s">
        <v>66</v>
      </c>
      <c r="D157" s="299" t="s">
        <v>49</v>
      </c>
      <c r="E157" s="299" t="s">
        <v>169</v>
      </c>
      <c r="F157" s="299" t="s">
        <v>216</v>
      </c>
      <c r="G157" s="299"/>
      <c r="H157" s="299" t="s">
        <v>17</v>
      </c>
      <c r="I157" s="299"/>
      <c r="J157" s="299" t="s">
        <v>201</v>
      </c>
      <c r="K157" s="301" t="s">
        <v>217</v>
      </c>
      <c r="L157" s="463"/>
      <c r="M157" s="303"/>
    </row>
    <row r="158" spans="2:14" ht="25.5" x14ac:dyDescent="0.25">
      <c r="B158" s="285" t="s">
        <v>1</v>
      </c>
      <c r="C158" s="286" t="s">
        <v>66</v>
      </c>
      <c r="D158" s="286" t="s">
        <v>49</v>
      </c>
      <c r="E158" s="286" t="s">
        <v>339</v>
      </c>
      <c r="F158" s="286"/>
      <c r="G158" s="286"/>
      <c r="H158" s="286"/>
      <c r="I158" s="286"/>
      <c r="J158" s="286"/>
      <c r="K158" s="287" t="s">
        <v>333</v>
      </c>
      <c r="L158" s="452">
        <v>3000000000</v>
      </c>
      <c r="M158" s="297"/>
      <c r="N158" s="321"/>
    </row>
    <row r="159" spans="2:14" ht="38.25" x14ac:dyDescent="0.25">
      <c r="B159" s="285" t="s">
        <v>1</v>
      </c>
      <c r="C159" s="286" t="s">
        <v>66</v>
      </c>
      <c r="D159" s="286" t="s">
        <v>49</v>
      </c>
      <c r="E159" s="286" t="s">
        <v>340</v>
      </c>
      <c r="F159" s="286"/>
      <c r="G159" s="286"/>
      <c r="H159" s="286"/>
      <c r="I159" s="286"/>
      <c r="J159" s="286"/>
      <c r="K159" s="287" t="s">
        <v>329</v>
      </c>
      <c r="L159" s="452">
        <v>7557106890</v>
      </c>
      <c r="M159" s="297"/>
      <c r="N159" s="321"/>
    </row>
    <row r="160" spans="2:14" ht="17.25" x14ac:dyDescent="0.25">
      <c r="B160" s="653" t="s">
        <v>235</v>
      </c>
      <c r="C160" s="654"/>
      <c r="D160" s="654"/>
      <c r="E160" s="654"/>
      <c r="F160" s="654"/>
      <c r="G160" s="654"/>
      <c r="H160" s="654"/>
      <c r="I160" s="654"/>
      <c r="J160" s="654"/>
      <c r="K160" s="655"/>
      <c r="L160" s="458">
        <f>+L82+L92+L109</f>
        <v>171718456809</v>
      </c>
      <c r="M160" s="307" t="e">
        <f>+M82+M92+M109</f>
        <v>#REF!</v>
      </c>
    </row>
    <row r="161" spans="2:13" ht="17.25" x14ac:dyDescent="0.25">
      <c r="B161" s="653" t="s">
        <v>341</v>
      </c>
      <c r="C161" s="654"/>
      <c r="D161" s="654"/>
      <c r="E161" s="654"/>
      <c r="F161" s="654"/>
      <c r="G161" s="654"/>
      <c r="H161" s="654"/>
      <c r="I161" s="654"/>
      <c r="J161" s="654"/>
      <c r="K161" s="655" t="s">
        <v>284</v>
      </c>
      <c r="L161" s="458">
        <f>+L160+L80</f>
        <v>264219041287</v>
      </c>
      <c r="M161" s="367" t="e">
        <f>+M160+M80</f>
        <v>#REF!</v>
      </c>
    </row>
    <row r="162" spans="2:13" x14ac:dyDescent="0.25">
      <c r="L162" s="481"/>
    </row>
    <row r="164" spans="2:13" x14ac:dyDescent="0.25">
      <c r="L164" s="482"/>
    </row>
  </sheetData>
  <mergeCells count="4">
    <mergeCell ref="B161:K161"/>
    <mergeCell ref="B80:K80"/>
    <mergeCell ref="B1:M1"/>
    <mergeCell ref="B160:K160"/>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sheetPr>
  <dimension ref="A1:R154"/>
  <sheetViews>
    <sheetView topLeftCell="A141" zoomScale="93" zoomScaleNormal="93" workbookViewId="0">
      <selection activeCell="P44" sqref="P44"/>
    </sheetView>
  </sheetViews>
  <sheetFormatPr baseColWidth="10" defaultColWidth="11.42578125" defaultRowHeight="14.25" x14ac:dyDescent="0.2"/>
  <cols>
    <col min="1" max="1" width="4.140625" style="204" customWidth="1"/>
    <col min="2" max="2" width="6" style="202" customWidth="1"/>
    <col min="3" max="3" width="8.42578125" style="202" customWidth="1"/>
    <col min="4" max="4" width="14.42578125" style="202" customWidth="1"/>
    <col min="5" max="5" width="10" style="202" customWidth="1"/>
    <col min="6" max="6" width="8.85546875" style="202" customWidth="1"/>
    <col min="7" max="7" width="4.28515625" style="202" customWidth="1"/>
    <col min="8" max="9" width="3.42578125" style="202" customWidth="1"/>
    <col min="10" max="10" width="45.7109375" style="71" customWidth="1"/>
    <col min="11" max="11" width="24.28515625" style="203" customWidth="1"/>
    <col min="12" max="12" width="36.5703125" style="309" customWidth="1"/>
    <col min="13" max="16384" width="11.42578125" style="202"/>
  </cols>
  <sheetData>
    <row r="1" spans="1:12" ht="15.75" customHeight="1" x14ac:dyDescent="0.2">
      <c r="A1" s="665" t="s">
        <v>70</v>
      </c>
      <c r="B1" s="665"/>
      <c r="C1" s="665"/>
      <c r="D1" s="665"/>
      <c r="E1" s="665"/>
      <c r="F1" s="665"/>
      <c r="G1" s="665"/>
      <c r="H1" s="665"/>
      <c r="I1" s="665"/>
      <c r="J1" s="665"/>
      <c r="K1" s="665"/>
      <c r="L1" s="665"/>
    </row>
    <row r="2" spans="1:12" ht="15.75" customHeight="1" x14ac:dyDescent="0.2">
      <c r="A2" s="665" t="s">
        <v>71</v>
      </c>
      <c r="B2" s="665"/>
      <c r="C2" s="665"/>
      <c r="D2" s="665"/>
      <c r="E2" s="665"/>
      <c r="F2" s="665"/>
      <c r="G2" s="665"/>
      <c r="H2" s="665"/>
      <c r="I2" s="665"/>
      <c r="J2" s="665"/>
      <c r="K2" s="665"/>
      <c r="L2" s="665"/>
    </row>
    <row r="3" spans="1:12" ht="15.75" customHeight="1" x14ac:dyDescent="0.2">
      <c r="A3" s="665" t="s">
        <v>72</v>
      </c>
      <c r="B3" s="665"/>
      <c r="C3" s="665"/>
      <c r="D3" s="665"/>
      <c r="E3" s="665"/>
      <c r="F3" s="665"/>
      <c r="G3" s="665"/>
      <c r="H3" s="665"/>
      <c r="I3" s="665"/>
      <c r="J3" s="665"/>
      <c r="K3" s="665"/>
      <c r="L3" s="665"/>
    </row>
    <row r="4" spans="1:12" ht="8.25" customHeight="1" x14ac:dyDescent="0.2">
      <c r="A4" s="667"/>
      <c r="B4" s="667"/>
      <c r="C4" s="667"/>
      <c r="D4" s="667"/>
      <c r="E4" s="667"/>
      <c r="F4" s="667"/>
      <c r="G4" s="667"/>
      <c r="H4" s="667"/>
      <c r="I4" s="667"/>
      <c r="J4" s="667"/>
      <c r="K4" s="667"/>
      <c r="L4" s="667"/>
    </row>
    <row r="5" spans="1:12" ht="11.25" customHeight="1" x14ac:dyDescent="0.2">
      <c r="A5" s="667"/>
      <c r="B5" s="667"/>
      <c r="C5" s="667"/>
      <c r="D5" s="667"/>
      <c r="E5" s="667"/>
      <c r="F5" s="667"/>
      <c r="G5" s="667"/>
      <c r="H5" s="667"/>
      <c r="I5" s="667"/>
      <c r="J5" s="667"/>
      <c r="K5" s="667"/>
      <c r="L5" s="667"/>
    </row>
    <row r="6" spans="1:12" ht="15.75" x14ac:dyDescent="0.2">
      <c r="A6" s="664" t="s">
        <v>355</v>
      </c>
      <c r="B6" s="664"/>
      <c r="C6" s="664"/>
      <c r="D6" s="664"/>
      <c r="E6" s="664"/>
      <c r="F6" s="664"/>
      <c r="G6" s="664"/>
      <c r="H6" s="664"/>
      <c r="I6" s="664"/>
      <c r="J6" s="664"/>
      <c r="K6" s="664"/>
      <c r="L6" s="664"/>
    </row>
    <row r="7" spans="1:12" ht="9.75" customHeight="1" x14ac:dyDescent="0.2"/>
    <row r="8" spans="1:12" ht="41.45" customHeight="1" x14ac:dyDescent="0.2">
      <c r="A8" s="668"/>
      <c r="B8" s="669"/>
      <c r="C8" s="669"/>
      <c r="D8" s="669"/>
      <c r="E8" s="669"/>
      <c r="F8" s="669"/>
      <c r="G8" s="669"/>
      <c r="H8" s="669"/>
      <c r="I8" s="669"/>
      <c r="J8" s="669"/>
      <c r="K8" s="178" t="s">
        <v>323</v>
      </c>
      <c r="L8" s="178" t="s">
        <v>324</v>
      </c>
    </row>
    <row r="9" spans="1:12" ht="31.9" customHeight="1" x14ac:dyDescent="0.2">
      <c r="A9" s="380" t="s">
        <v>0</v>
      </c>
      <c r="B9" s="380" t="s">
        <v>52</v>
      </c>
      <c r="C9" s="380" t="s">
        <v>53</v>
      </c>
      <c r="D9" s="380" t="s">
        <v>54</v>
      </c>
      <c r="E9" s="380" t="s">
        <v>55</v>
      </c>
      <c r="F9" s="380" t="s">
        <v>2</v>
      </c>
      <c r="G9" s="380" t="s">
        <v>3</v>
      </c>
      <c r="H9" s="380" t="s">
        <v>4</v>
      </c>
      <c r="I9" s="380"/>
      <c r="J9" s="178" t="s">
        <v>5</v>
      </c>
      <c r="K9" s="380" t="s">
        <v>51</v>
      </c>
      <c r="L9" s="484" t="s">
        <v>51</v>
      </c>
    </row>
    <row r="10" spans="1:12" ht="27.6" customHeight="1" x14ac:dyDescent="0.2">
      <c r="A10" s="380" t="s">
        <v>6</v>
      </c>
      <c r="B10" s="381" t="s">
        <v>17</v>
      </c>
      <c r="C10" s="381"/>
      <c r="D10" s="381"/>
      <c r="E10" s="381"/>
      <c r="F10" s="381"/>
      <c r="G10" s="381"/>
      <c r="H10" s="381"/>
      <c r="I10" s="381"/>
      <c r="J10" s="382" t="s">
        <v>19</v>
      </c>
      <c r="K10" s="205">
        <f>+K11+K21</f>
        <v>70000000000</v>
      </c>
      <c r="L10" s="485">
        <f>+L11+L21</f>
        <v>71842970687</v>
      </c>
    </row>
    <row r="11" spans="1:12" ht="45.6" customHeight="1" x14ac:dyDescent="0.2">
      <c r="A11" s="380" t="s">
        <v>6</v>
      </c>
      <c r="B11" s="381" t="s">
        <v>17</v>
      </c>
      <c r="C11" s="381" t="s">
        <v>7</v>
      </c>
      <c r="D11" s="381"/>
      <c r="E11" s="381"/>
      <c r="F11" s="381"/>
      <c r="G11" s="381"/>
      <c r="H11" s="381"/>
      <c r="I11" s="381"/>
      <c r="J11" s="382" t="s">
        <v>67</v>
      </c>
      <c r="K11" s="205">
        <f>+K12</f>
        <v>236694000</v>
      </c>
      <c r="L11" s="485">
        <f>+L12</f>
        <v>239277285</v>
      </c>
    </row>
    <row r="12" spans="1:12" ht="24.6" customHeight="1" x14ac:dyDescent="0.2">
      <c r="A12" s="380" t="s">
        <v>6</v>
      </c>
      <c r="B12" s="381" t="s">
        <v>17</v>
      </c>
      <c r="C12" s="381" t="s">
        <v>7</v>
      </c>
      <c r="D12" s="381" t="s">
        <v>7</v>
      </c>
      <c r="E12" s="381"/>
      <c r="F12" s="381"/>
      <c r="G12" s="381"/>
      <c r="H12" s="381"/>
      <c r="I12" s="381"/>
      <c r="J12" s="382" t="s">
        <v>68</v>
      </c>
      <c r="K12" s="205">
        <f>+K13</f>
        <v>236694000</v>
      </c>
      <c r="L12" s="485">
        <f>+L13</f>
        <v>239277285</v>
      </c>
    </row>
    <row r="13" spans="1:12" ht="73.150000000000006" customHeight="1" x14ac:dyDescent="0.2">
      <c r="A13" s="383" t="s">
        <v>6</v>
      </c>
      <c r="B13" s="384" t="s">
        <v>17</v>
      </c>
      <c r="C13" s="384" t="s">
        <v>7</v>
      </c>
      <c r="D13" s="384" t="s">
        <v>7</v>
      </c>
      <c r="E13" s="384" t="s">
        <v>10</v>
      </c>
      <c r="F13" s="384"/>
      <c r="G13" s="384"/>
      <c r="H13" s="384"/>
      <c r="I13" s="384"/>
      <c r="J13" s="385" t="s">
        <v>69</v>
      </c>
      <c r="K13" s="206">
        <f>+K14+K16</f>
        <v>236694000</v>
      </c>
      <c r="L13" s="486">
        <f>+SUM(L14:L16)</f>
        <v>239277285</v>
      </c>
    </row>
    <row r="14" spans="1:12" ht="40.5" customHeight="1" x14ac:dyDescent="0.2">
      <c r="A14" s="386" t="s">
        <v>6</v>
      </c>
      <c r="B14" s="387" t="s">
        <v>17</v>
      </c>
      <c r="C14" s="387" t="s">
        <v>7</v>
      </c>
      <c r="D14" s="387" t="s">
        <v>7</v>
      </c>
      <c r="E14" s="387" t="s">
        <v>10</v>
      </c>
      <c r="F14" s="387" t="s">
        <v>15</v>
      </c>
      <c r="G14" s="388"/>
      <c r="H14" s="388"/>
      <c r="I14" s="388"/>
      <c r="J14" s="389" t="s">
        <v>188</v>
      </c>
      <c r="K14" s="207">
        <v>10300000</v>
      </c>
      <c r="L14" s="487">
        <f>+ROUND((K14*1.03),0)</f>
        <v>10609000</v>
      </c>
    </row>
    <row r="15" spans="1:12" ht="30.75" customHeight="1" x14ac:dyDescent="0.2">
      <c r="A15" s="386" t="s">
        <v>6</v>
      </c>
      <c r="B15" s="387" t="s">
        <v>17</v>
      </c>
      <c r="C15" s="387" t="s">
        <v>7</v>
      </c>
      <c r="D15" s="387" t="s">
        <v>7</v>
      </c>
      <c r="E15" s="387" t="s">
        <v>10</v>
      </c>
      <c r="F15" s="387" t="s">
        <v>15</v>
      </c>
      <c r="G15" s="387" t="s">
        <v>7</v>
      </c>
      <c r="H15" s="387" t="s">
        <v>50</v>
      </c>
      <c r="I15" s="388"/>
      <c r="J15" s="389" t="s">
        <v>214</v>
      </c>
      <c r="K15" s="207"/>
      <c r="L15" s="487"/>
    </row>
    <row r="16" spans="1:12" ht="22.9" customHeight="1" x14ac:dyDescent="0.2">
      <c r="A16" s="383" t="s">
        <v>6</v>
      </c>
      <c r="B16" s="384" t="s">
        <v>17</v>
      </c>
      <c r="C16" s="384" t="s">
        <v>7</v>
      </c>
      <c r="D16" s="384" t="s">
        <v>7</v>
      </c>
      <c r="E16" s="384" t="s">
        <v>11</v>
      </c>
      <c r="F16" s="384"/>
      <c r="G16" s="384"/>
      <c r="H16" s="384"/>
      <c r="I16" s="384"/>
      <c r="J16" s="385" t="s">
        <v>189</v>
      </c>
      <c r="K16" s="206">
        <f>+K18+K19+K20+K17</f>
        <v>226394000</v>
      </c>
      <c r="L16" s="486">
        <f>+L18+L19+L20+L17</f>
        <v>228668285</v>
      </c>
    </row>
    <row r="17" spans="1:12" ht="87" customHeight="1" x14ac:dyDescent="0.2">
      <c r="A17" s="386"/>
      <c r="B17" s="387"/>
      <c r="C17" s="387"/>
      <c r="D17" s="387"/>
      <c r="E17" s="387"/>
      <c r="F17" s="387"/>
      <c r="G17" s="387"/>
      <c r="H17" s="387"/>
      <c r="I17" s="387"/>
      <c r="J17" s="390"/>
      <c r="K17" s="207"/>
      <c r="L17" s="487"/>
    </row>
    <row r="18" spans="1:12" ht="87" customHeight="1" x14ac:dyDescent="0.2">
      <c r="A18" s="386" t="s">
        <v>6</v>
      </c>
      <c r="B18" s="387" t="s">
        <v>17</v>
      </c>
      <c r="C18" s="387" t="s">
        <v>7</v>
      </c>
      <c r="D18" s="387" t="s">
        <v>7</v>
      </c>
      <c r="E18" s="387" t="s">
        <v>11</v>
      </c>
      <c r="F18" s="387" t="s">
        <v>12</v>
      </c>
      <c r="G18" s="387"/>
      <c r="H18" s="387"/>
      <c r="I18" s="387"/>
      <c r="J18" s="390" t="s">
        <v>190</v>
      </c>
      <c r="K18" s="207">
        <v>140492000</v>
      </c>
      <c r="L18" s="487">
        <v>106640784</v>
      </c>
    </row>
    <row r="19" spans="1:12" ht="58.5" customHeight="1" x14ac:dyDescent="0.2">
      <c r="A19" s="386" t="s">
        <v>6</v>
      </c>
      <c r="B19" s="387" t="s">
        <v>17</v>
      </c>
      <c r="C19" s="387" t="s">
        <v>7</v>
      </c>
      <c r="D19" s="387" t="s">
        <v>7</v>
      </c>
      <c r="E19" s="387" t="s">
        <v>11</v>
      </c>
      <c r="F19" s="387" t="s">
        <v>13</v>
      </c>
      <c r="G19" s="387"/>
      <c r="H19" s="387"/>
      <c r="I19" s="387"/>
      <c r="J19" s="390" t="s">
        <v>191</v>
      </c>
      <c r="K19" s="207">
        <v>11742000</v>
      </c>
      <c r="L19" s="487">
        <v>12093977</v>
      </c>
    </row>
    <row r="20" spans="1:12" ht="55.5" customHeight="1" x14ac:dyDescent="0.2">
      <c r="A20" s="386" t="s">
        <v>6</v>
      </c>
      <c r="B20" s="387" t="s">
        <v>17</v>
      </c>
      <c r="C20" s="387" t="s">
        <v>7</v>
      </c>
      <c r="D20" s="387" t="s">
        <v>7</v>
      </c>
      <c r="E20" s="387" t="s">
        <v>11</v>
      </c>
      <c r="F20" s="387" t="s">
        <v>14</v>
      </c>
      <c r="G20" s="387"/>
      <c r="H20" s="387"/>
      <c r="I20" s="387"/>
      <c r="J20" s="390" t="s">
        <v>192</v>
      </c>
      <c r="K20" s="207">
        <v>74160000</v>
      </c>
      <c r="L20" s="487">
        <v>109933524</v>
      </c>
    </row>
    <row r="21" spans="1:12" ht="45.75" customHeight="1" x14ac:dyDescent="0.2">
      <c r="A21" s="380" t="s">
        <v>6</v>
      </c>
      <c r="B21" s="381" t="s">
        <v>17</v>
      </c>
      <c r="C21" s="381" t="s">
        <v>17</v>
      </c>
      <c r="D21" s="381"/>
      <c r="E21" s="381"/>
      <c r="F21" s="381"/>
      <c r="G21" s="381"/>
      <c r="H21" s="381"/>
      <c r="I21" s="381"/>
      <c r="J21" s="382" t="s">
        <v>20</v>
      </c>
      <c r="K21" s="205">
        <f>+K22+K43</f>
        <v>69763306000</v>
      </c>
      <c r="L21" s="485">
        <f>+L22+L43</f>
        <v>71603693402</v>
      </c>
    </row>
    <row r="22" spans="1:12" ht="27" customHeight="1" x14ac:dyDescent="0.2">
      <c r="A22" s="380" t="s">
        <v>6</v>
      </c>
      <c r="B22" s="381" t="s">
        <v>17</v>
      </c>
      <c r="C22" s="381" t="s">
        <v>17</v>
      </c>
      <c r="D22" s="381" t="s">
        <v>7</v>
      </c>
      <c r="E22" s="381"/>
      <c r="F22" s="381"/>
      <c r="G22" s="381"/>
      <c r="H22" s="381"/>
      <c r="I22" s="381"/>
      <c r="J22" s="382" t="s">
        <v>21</v>
      </c>
      <c r="K22" s="205">
        <f>+K23+K26+K38</f>
        <v>8857511531</v>
      </c>
      <c r="L22" s="485">
        <f>+L23+L26+L38</f>
        <v>10776472388</v>
      </c>
    </row>
    <row r="23" spans="1:12" ht="50.25" customHeight="1" x14ac:dyDescent="0.2">
      <c r="A23" s="383" t="s">
        <v>6</v>
      </c>
      <c r="B23" s="384" t="s">
        <v>17</v>
      </c>
      <c r="C23" s="384" t="s">
        <v>17</v>
      </c>
      <c r="D23" s="384" t="s">
        <v>7</v>
      </c>
      <c r="E23" s="384" t="s">
        <v>9</v>
      </c>
      <c r="F23" s="384"/>
      <c r="G23" s="384"/>
      <c r="H23" s="384"/>
      <c r="I23" s="384"/>
      <c r="J23" s="385" t="s">
        <v>22</v>
      </c>
      <c r="K23" s="206">
        <f>+K24+K25</f>
        <v>706613400</v>
      </c>
      <c r="L23" s="486">
        <f>+L24+L25</f>
        <v>759502066</v>
      </c>
    </row>
    <row r="24" spans="1:12" ht="56.25" customHeight="1" x14ac:dyDescent="0.2">
      <c r="A24" s="391" t="s">
        <v>6</v>
      </c>
      <c r="B24" s="388" t="s">
        <v>17</v>
      </c>
      <c r="C24" s="388" t="s">
        <v>17</v>
      </c>
      <c r="D24" s="388" t="s">
        <v>7</v>
      </c>
      <c r="E24" s="388" t="s">
        <v>9</v>
      </c>
      <c r="F24" s="388" t="s">
        <v>10</v>
      </c>
      <c r="G24" s="388"/>
      <c r="H24" s="388"/>
      <c r="I24" s="388"/>
      <c r="J24" s="389" t="s">
        <v>146</v>
      </c>
      <c r="K24" s="207">
        <v>640248000</v>
      </c>
      <c r="L24" s="487">
        <v>702907512</v>
      </c>
    </row>
    <row r="25" spans="1:12" ht="54" customHeight="1" x14ac:dyDescent="0.2">
      <c r="A25" s="391" t="s">
        <v>6</v>
      </c>
      <c r="B25" s="388" t="s">
        <v>17</v>
      </c>
      <c r="C25" s="388" t="s">
        <v>17</v>
      </c>
      <c r="D25" s="388" t="s">
        <v>7</v>
      </c>
      <c r="E25" s="388" t="s">
        <v>9</v>
      </c>
      <c r="F25" s="388" t="s">
        <v>14</v>
      </c>
      <c r="G25" s="388"/>
      <c r="H25" s="388"/>
      <c r="I25" s="388"/>
      <c r="J25" s="389" t="s">
        <v>145</v>
      </c>
      <c r="K25" s="207">
        <v>66365400</v>
      </c>
      <c r="L25" s="487">
        <f>6594554+50000000</f>
        <v>56594554</v>
      </c>
    </row>
    <row r="26" spans="1:12" ht="58.5" customHeight="1" x14ac:dyDescent="0.2">
      <c r="A26" s="383" t="s">
        <v>6</v>
      </c>
      <c r="B26" s="384" t="s">
        <v>17</v>
      </c>
      <c r="C26" s="384" t="s">
        <v>17</v>
      </c>
      <c r="D26" s="384" t="s">
        <v>7</v>
      </c>
      <c r="E26" s="384" t="s">
        <v>10</v>
      </c>
      <c r="F26" s="384"/>
      <c r="G26" s="384"/>
      <c r="H26" s="384"/>
      <c r="I26" s="384"/>
      <c r="J26" s="385" t="s">
        <v>23</v>
      </c>
      <c r="K26" s="206">
        <f>+K28+K29+K30+K31+K32+K33+K34+K35</f>
        <v>8070478819</v>
      </c>
      <c r="L26" s="486">
        <f>+L28+L29+L30+L31+L32+L33+L34+L35</f>
        <v>8134167628</v>
      </c>
    </row>
    <row r="27" spans="1:12" ht="15.75" hidden="1" x14ac:dyDescent="0.2">
      <c r="A27" s="383"/>
      <c r="B27" s="384"/>
      <c r="C27" s="384"/>
      <c r="D27" s="384"/>
      <c r="E27" s="384"/>
      <c r="F27" s="384"/>
      <c r="G27" s="384"/>
      <c r="H27" s="384"/>
      <c r="I27" s="384"/>
      <c r="J27" s="385"/>
      <c r="K27" s="206"/>
      <c r="L27" s="486"/>
    </row>
    <row r="28" spans="1:12" s="208" customFormat="1" ht="55.5" customHeight="1" x14ac:dyDescent="0.2">
      <c r="A28" s="392" t="s">
        <v>6</v>
      </c>
      <c r="B28" s="392" t="s">
        <v>17</v>
      </c>
      <c r="C28" s="392" t="s">
        <v>17</v>
      </c>
      <c r="D28" s="392" t="s">
        <v>7</v>
      </c>
      <c r="E28" s="392" t="s">
        <v>10</v>
      </c>
      <c r="F28" s="392" t="s">
        <v>8</v>
      </c>
      <c r="G28" s="392"/>
      <c r="H28" s="392"/>
      <c r="I28" s="392"/>
      <c r="J28" s="389" t="s">
        <v>193</v>
      </c>
      <c r="K28" s="209">
        <v>38934000</v>
      </c>
      <c r="L28" s="488">
        <v>22711072</v>
      </c>
    </row>
    <row r="29" spans="1:12" s="208" customFormat="1" ht="61.5" customHeight="1" x14ac:dyDescent="0.2">
      <c r="A29" s="393" t="s">
        <v>6</v>
      </c>
      <c r="B29" s="393" t="s">
        <v>17</v>
      </c>
      <c r="C29" s="393" t="s">
        <v>17</v>
      </c>
      <c r="D29" s="393" t="s">
        <v>7</v>
      </c>
      <c r="E29" s="393" t="s">
        <v>10</v>
      </c>
      <c r="F29" s="393" t="s">
        <v>9</v>
      </c>
      <c r="G29" s="393"/>
      <c r="H29" s="393"/>
      <c r="I29" s="393"/>
      <c r="J29" s="389" t="s">
        <v>24</v>
      </c>
      <c r="K29" s="209">
        <v>1599384000</v>
      </c>
      <c r="L29" s="488">
        <v>1386738011</v>
      </c>
    </row>
    <row r="30" spans="1:12" s="228" customFormat="1" ht="54.75" customHeight="1" x14ac:dyDescent="0.2">
      <c r="A30" s="392" t="s">
        <v>6</v>
      </c>
      <c r="B30" s="392" t="s">
        <v>17</v>
      </c>
      <c r="C30" s="392" t="s">
        <v>17</v>
      </c>
      <c r="D30" s="392" t="s">
        <v>7</v>
      </c>
      <c r="E30" s="392" t="s">
        <v>10</v>
      </c>
      <c r="F30" s="392" t="s">
        <v>10</v>
      </c>
      <c r="G30" s="392"/>
      <c r="H30" s="392"/>
      <c r="I30" s="392"/>
      <c r="J30" s="389" t="s">
        <v>25</v>
      </c>
      <c r="K30" s="209">
        <v>700312500</v>
      </c>
      <c r="L30" s="488">
        <v>630140370</v>
      </c>
    </row>
    <row r="31" spans="1:12" s="208" customFormat="1" ht="58.5" customHeight="1" x14ac:dyDescent="0.2">
      <c r="A31" s="393" t="s">
        <v>6</v>
      </c>
      <c r="B31" s="393" t="s">
        <v>17</v>
      </c>
      <c r="C31" s="393" t="s">
        <v>17</v>
      </c>
      <c r="D31" s="393" t="s">
        <v>7</v>
      </c>
      <c r="E31" s="393" t="s">
        <v>10</v>
      </c>
      <c r="F31" s="393" t="s">
        <v>11</v>
      </c>
      <c r="G31" s="393"/>
      <c r="H31" s="393"/>
      <c r="I31" s="393"/>
      <c r="J31" s="394" t="s">
        <v>194</v>
      </c>
      <c r="K31" s="395">
        <v>210120000</v>
      </c>
      <c r="L31" s="488">
        <v>195566596</v>
      </c>
    </row>
    <row r="32" spans="1:12" s="228" customFormat="1" ht="73.5" customHeight="1" x14ac:dyDescent="0.2">
      <c r="A32" s="392" t="s">
        <v>6</v>
      </c>
      <c r="B32" s="392" t="s">
        <v>17</v>
      </c>
      <c r="C32" s="392" t="s">
        <v>17</v>
      </c>
      <c r="D32" s="392" t="s">
        <v>7</v>
      </c>
      <c r="E32" s="392" t="s">
        <v>10</v>
      </c>
      <c r="F32" s="392" t="s">
        <v>12</v>
      </c>
      <c r="G32" s="392"/>
      <c r="H32" s="392"/>
      <c r="I32" s="392"/>
      <c r="J32" s="389" t="s">
        <v>56</v>
      </c>
      <c r="K32" s="209">
        <v>3573276000</v>
      </c>
      <c r="L32" s="488">
        <v>4326278108</v>
      </c>
    </row>
    <row r="33" spans="1:12" s="228" customFormat="1" ht="64.5" customHeight="1" x14ac:dyDescent="0.2">
      <c r="A33" s="392" t="s">
        <v>6</v>
      </c>
      <c r="B33" s="392" t="s">
        <v>17</v>
      </c>
      <c r="C33" s="392" t="s">
        <v>17</v>
      </c>
      <c r="D33" s="392" t="s">
        <v>7</v>
      </c>
      <c r="E33" s="392" t="s">
        <v>10</v>
      </c>
      <c r="F33" s="392" t="s">
        <v>13</v>
      </c>
      <c r="G33" s="392"/>
      <c r="H33" s="392"/>
      <c r="I33" s="392"/>
      <c r="J33" s="389" t="s">
        <v>195</v>
      </c>
      <c r="K33" s="396">
        <v>1718040000</v>
      </c>
      <c r="L33" s="488">
        <v>1342332828</v>
      </c>
    </row>
    <row r="34" spans="1:12" s="228" customFormat="1" ht="57" customHeight="1" x14ac:dyDescent="0.2">
      <c r="A34" s="392" t="s">
        <v>6</v>
      </c>
      <c r="B34" s="392" t="s">
        <v>17</v>
      </c>
      <c r="C34" s="392" t="s">
        <v>17</v>
      </c>
      <c r="D34" s="392" t="s">
        <v>7</v>
      </c>
      <c r="E34" s="392" t="s">
        <v>10</v>
      </c>
      <c r="F34" s="392" t="s">
        <v>14</v>
      </c>
      <c r="G34" s="392"/>
      <c r="H34" s="392"/>
      <c r="I34" s="392"/>
      <c r="J34" s="389" t="s">
        <v>196</v>
      </c>
      <c r="K34" s="396">
        <v>4185819</v>
      </c>
      <c r="L34" s="488">
        <v>62589</v>
      </c>
    </row>
    <row r="35" spans="1:12" s="208" customFormat="1" ht="84" customHeight="1" x14ac:dyDescent="0.2">
      <c r="A35" s="393" t="s">
        <v>6</v>
      </c>
      <c r="B35" s="393" t="s">
        <v>17</v>
      </c>
      <c r="C35" s="393" t="s">
        <v>17</v>
      </c>
      <c r="D35" s="393" t="s">
        <v>7</v>
      </c>
      <c r="E35" s="393" t="s">
        <v>10</v>
      </c>
      <c r="F35" s="393" t="s">
        <v>15</v>
      </c>
      <c r="G35" s="393"/>
      <c r="H35" s="393"/>
      <c r="I35" s="393"/>
      <c r="J35" s="389" t="s">
        <v>197</v>
      </c>
      <c r="K35" s="395">
        <v>226226500</v>
      </c>
      <c r="L35" s="488">
        <f>100000000+56075054+74263000</f>
        <v>230338054</v>
      </c>
    </row>
    <row r="36" spans="1:12" s="208" customFormat="1" ht="31.5" hidden="1" x14ac:dyDescent="0.2">
      <c r="A36" s="397" t="s">
        <v>6</v>
      </c>
      <c r="B36" s="397" t="s">
        <v>17</v>
      </c>
      <c r="C36" s="397" t="s">
        <v>17</v>
      </c>
      <c r="D36" s="397" t="s">
        <v>7</v>
      </c>
      <c r="E36" s="397" t="s">
        <v>11</v>
      </c>
      <c r="F36" s="398"/>
      <c r="G36" s="398"/>
      <c r="H36" s="398"/>
      <c r="I36" s="398"/>
      <c r="J36" s="385" t="s">
        <v>147</v>
      </c>
      <c r="K36" s="217">
        <f>+K37</f>
        <v>0</v>
      </c>
      <c r="L36" s="489">
        <f>+L37</f>
        <v>0</v>
      </c>
    </row>
    <row r="37" spans="1:12" s="208" customFormat="1" ht="30" hidden="1" x14ac:dyDescent="0.2">
      <c r="A37" s="393" t="s">
        <v>6</v>
      </c>
      <c r="B37" s="393" t="s">
        <v>17</v>
      </c>
      <c r="C37" s="393" t="s">
        <v>17</v>
      </c>
      <c r="D37" s="393" t="s">
        <v>7</v>
      </c>
      <c r="E37" s="393" t="s">
        <v>11</v>
      </c>
      <c r="F37" s="393" t="s">
        <v>10</v>
      </c>
      <c r="G37" s="393" t="s">
        <v>149</v>
      </c>
      <c r="H37" s="393"/>
      <c r="I37" s="393"/>
      <c r="J37" s="399" t="s">
        <v>148</v>
      </c>
      <c r="K37" s="216"/>
      <c r="L37" s="490"/>
    </row>
    <row r="38" spans="1:12" s="208" customFormat="1" ht="36.75" customHeight="1" x14ac:dyDescent="0.2">
      <c r="A38" s="397" t="s">
        <v>6</v>
      </c>
      <c r="B38" s="397" t="s">
        <v>17</v>
      </c>
      <c r="C38" s="397" t="s">
        <v>17</v>
      </c>
      <c r="D38" s="397" t="s">
        <v>7</v>
      </c>
      <c r="E38" s="397" t="s">
        <v>11</v>
      </c>
      <c r="F38" s="397"/>
      <c r="G38" s="397"/>
      <c r="H38" s="397"/>
      <c r="I38" s="397"/>
      <c r="J38" s="400" t="s">
        <v>147</v>
      </c>
      <c r="K38" s="224">
        <f>+K39+K40+K41+K42</f>
        <v>80419312</v>
      </c>
      <c r="L38" s="491">
        <f>+L39+L40+L41+L42</f>
        <v>1882802694</v>
      </c>
    </row>
    <row r="39" spans="1:12" s="208" customFormat="1" ht="57" customHeight="1" x14ac:dyDescent="0.2">
      <c r="A39" s="393" t="s">
        <v>6</v>
      </c>
      <c r="B39" s="393" t="s">
        <v>17</v>
      </c>
      <c r="C39" s="393" t="s">
        <v>17</v>
      </c>
      <c r="D39" s="393" t="s">
        <v>7</v>
      </c>
      <c r="E39" s="393" t="s">
        <v>11</v>
      </c>
      <c r="F39" s="393" t="s">
        <v>9</v>
      </c>
      <c r="G39" s="393"/>
      <c r="H39" s="393"/>
      <c r="I39" s="393"/>
      <c r="J39" s="399" t="s">
        <v>198</v>
      </c>
      <c r="K39" s="395">
        <v>39552001</v>
      </c>
      <c r="L39" s="488">
        <v>38138520</v>
      </c>
    </row>
    <row r="40" spans="1:12" s="228" customFormat="1" ht="57" customHeight="1" x14ac:dyDescent="0.2">
      <c r="A40" s="392" t="s">
        <v>6</v>
      </c>
      <c r="B40" s="392" t="s">
        <v>17</v>
      </c>
      <c r="C40" s="392" t="s">
        <v>17</v>
      </c>
      <c r="D40" s="392" t="s">
        <v>7</v>
      </c>
      <c r="E40" s="392" t="s">
        <v>11</v>
      </c>
      <c r="F40" s="392" t="s">
        <v>11</v>
      </c>
      <c r="G40" s="392"/>
      <c r="H40" s="392"/>
      <c r="I40" s="392"/>
      <c r="J40" s="390" t="s">
        <v>344</v>
      </c>
      <c r="K40" s="209"/>
      <c r="L40" s="488">
        <v>1769961932</v>
      </c>
    </row>
    <row r="41" spans="1:12" s="208" customFormat="1" ht="59.25" customHeight="1" x14ac:dyDescent="0.2">
      <c r="A41" s="393" t="s">
        <v>6</v>
      </c>
      <c r="B41" s="393" t="s">
        <v>17</v>
      </c>
      <c r="C41" s="393" t="s">
        <v>17</v>
      </c>
      <c r="D41" s="393" t="s">
        <v>7</v>
      </c>
      <c r="E41" s="393" t="s">
        <v>11</v>
      </c>
      <c r="F41" s="393" t="s">
        <v>13</v>
      </c>
      <c r="G41" s="393"/>
      <c r="H41" s="393"/>
      <c r="I41" s="393"/>
      <c r="J41" s="399" t="s">
        <v>191</v>
      </c>
      <c r="K41" s="395">
        <v>34608001</v>
      </c>
      <c r="L41" s="488">
        <v>62702242</v>
      </c>
    </row>
    <row r="42" spans="1:12" s="208" customFormat="1" ht="44.25" customHeight="1" x14ac:dyDescent="0.2">
      <c r="A42" s="393" t="s">
        <v>6</v>
      </c>
      <c r="B42" s="393" t="s">
        <v>17</v>
      </c>
      <c r="C42" s="393" t="s">
        <v>17</v>
      </c>
      <c r="D42" s="393" t="s">
        <v>7</v>
      </c>
      <c r="E42" s="393" t="s">
        <v>11</v>
      </c>
      <c r="F42" s="393" t="s">
        <v>14</v>
      </c>
      <c r="G42" s="393"/>
      <c r="H42" s="393"/>
      <c r="I42" s="393"/>
      <c r="J42" s="399" t="s">
        <v>209</v>
      </c>
      <c r="K42" s="395">
        <v>6259310</v>
      </c>
      <c r="L42" s="488">
        <v>12000000</v>
      </c>
    </row>
    <row r="43" spans="1:12" ht="21.75" customHeight="1" x14ac:dyDescent="0.2">
      <c r="A43" s="380" t="s">
        <v>6</v>
      </c>
      <c r="B43" s="381" t="s">
        <v>17</v>
      </c>
      <c r="C43" s="381" t="s">
        <v>17</v>
      </c>
      <c r="D43" s="381" t="s">
        <v>17</v>
      </c>
      <c r="E43" s="381"/>
      <c r="F43" s="381"/>
      <c r="G43" s="381"/>
      <c r="H43" s="381"/>
      <c r="I43" s="381"/>
      <c r="J43" s="382" t="s">
        <v>26</v>
      </c>
      <c r="K43" s="205">
        <f>+K44+K46+K51+K57</f>
        <v>60905794469</v>
      </c>
      <c r="L43" s="485">
        <f>+L44+L46+L51+L57</f>
        <v>60827221014</v>
      </c>
    </row>
    <row r="44" spans="1:12" ht="26.25" customHeight="1" x14ac:dyDescent="0.2">
      <c r="A44" s="383" t="s">
        <v>6</v>
      </c>
      <c r="B44" s="384" t="s">
        <v>17</v>
      </c>
      <c r="C44" s="384" t="s">
        <v>17</v>
      </c>
      <c r="D44" s="384" t="s">
        <v>17</v>
      </c>
      <c r="E44" s="384" t="s">
        <v>12</v>
      </c>
      <c r="F44" s="384"/>
      <c r="G44" s="384"/>
      <c r="H44" s="384"/>
      <c r="I44" s="384"/>
      <c r="J44" s="385" t="s">
        <v>27</v>
      </c>
      <c r="K44" s="206">
        <f>+K45</f>
        <v>1035439184</v>
      </c>
      <c r="L44" s="486">
        <f>+L45</f>
        <v>650782713</v>
      </c>
    </row>
    <row r="45" spans="1:12" ht="192" customHeight="1" x14ac:dyDescent="0.2">
      <c r="A45" s="386" t="s">
        <v>6</v>
      </c>
      <c r="B45" s="387" t="s">
        <v>17</v>
      </c>
      <c r="C45" s="387" t="s">
        <v>17</v>
      </c>
      <c r="D45" s="387" t="s">
        <v>17</v>
      </c>
      <c r="E45" s="387" t="s">
        <v>12</v>
      </c>
      <c r="F45" s="387" t="s">
        <v>11</v>
      </c>
      <c r="G45" s="387"/>
      <c r="H45" s="387"/>
      <c r="I45" s="387"/>
      <c r="J45" s="389" t="s">
        <v>199</v>
      </c>
      <c r="K45" s="207">
        <v>1035439184</v>
      </c>
      <c r="L45" s="488">
        <f>6000000+30000000+20000000+22000000+90000000+11215011+150000000+321567702</f>
        <v>650782713</v>
      </c>
    </row>
    <row r="46" spans="1:12" ht="105.75" customHeight="1" x14ac:dyDescent="0.2">
      <c r="A46" s="383" t="s">
        <v>6</v>
      </c>
      <c r="B46" s="384" t="s">
        <v>17</v>
      </c>
      <c r="C46" s="384" t="s">
        <v>17</v>
      </c>
      <c r="D46" s="384" t="s">
        <v>17</v>
      </c>
      <c r="E46" s="384" t="s">
        <v>13</v>
      </c>
      <c r="F46" s="384"/>
      <c r="G46" s="384"/>
      <c r="H46" s="384"/>
      <c r="I46" s="384"/>
      <c r="J46" s="385" t="s">
        <v>28</v>
      </c>
      <c r="K46" s="206">
        <f>+K47+K48+K49+K50</f>
        <v>5164362156</v>
      </c>
      <c r="L46" s="486">
        <f>+L47+L48+L49+L50</f>
        <v>5875187019</v>
      </c>
    </row>
    <row r="47" spans="1:12" s="208" customFormat="1" ht="35.25" customHeight="1" x14ac:dyDescent="0.2">
      <c r="A47" s="392" t="s">
        <v>6</v>
      </c>
      <c r="B47" s="392" t="s">
        <v>17</v>
      </c>
      <c r="C47" s="392" t="s">
        <v>17</v>
      </c>
      <c r="D47" s="392" t="s">
        <v>17</v>
      </c>
      <c r="E47" s="392" t="s">
        <v>13</v>
      </c>
      <c r="F47" s="392" t="s">
        <v>10</v>
      </c>
      <c r="G47" s="392"/>
      <c r="H47" s="392"/>
      <c r="I47" s="392"/>
      <c r="J47" s="413" t="s">
        <v>151</v>
      </c>
      <c r="K47" s="209">
        <v>19485540</v>
      </c>
      <c r="L47" s="488">
        <v>20187019</v>
      </c>
    </row>
    <row r="48" spans="1:12" s="208" customFormat="1" ht="61.5" customHeight="1" x14ac:dyDescent="0.2">
      <c r="A48" s="393" t="s">
        <v>6</v>
      </c>
      <c r="B48" s="393" t="s">
        <v>17</v>
      </c>
      <c r="C48" s="393" t="s">
        <v>17</v>
      </c>
      <c r="D48" s="393" t="s">
        <v>17</v>
      </c>
      <c r="E48" s="393" t="s">
        <v>13</v>
      </c>
      <c r="F48" s="393" t="s">
        <v>12</v>
      </c>
      <c r="G48" s="393"/>
      <c r="H48" s="393"/>
      <c r="I48" s="393"/>
      <c r="J48" s="394" t="s">
        <v>29</v>
      </c>
      <c r="K48" s="209">
        <v>711190812</v>
      </c>
      <c r="L48" s="488">
        <f>1683000000+245000000</f>
        <v>1928000000</v>
      </c>
    </row>
    <row r="49" spans="1:12" s="208" customFormat="1" ht="49.5" customHeight="1" x14ac:dyDescent="0.2">
      <c r="A49" s="393" t="s">
        <v>6</v>
      </c>
      <c r="B49" s="393" t="s">
        <v>17</v>
      </c>
      <c r="C49" s="393" t="s">
        <v>17</v>
      </c>
      <c r="D49" s="393" t="s">
        <v>17</v>
      </c>
      <c r="E49" s="393" t="s">
        <v>13</v>
      </c>
      <c r="F49" s="393" t="s">
        <v>15</v>
      </c>
      <c r="G49" s="393"/>
      <c r="H49" s="393"/>
      <c r="I49" s="393"/>
      <c r="J49" s="394" t="s">
        <v>30</v>
      </c>
      <c r="K49" s="209">
        <v>4433685804</v>
      </c>
      <c r="L49" s="488">
        <v>3927000000</v>
      </c>
    </row>
    <row r="50" spans="1:12" s="208" customFormat="1" ht="40.5" hidden="1" customHeight="1" x14ac:dyDescent="0.2">
      <c r="A50" s="393" t="s">
        <v>6</v>
      </c>
      <c r="B50" s="393" t="s">
        <v>17</v>
      </c>
      <c r="C50" s="393" t="s">
        <v>17</v>
      </c>
      <c r="D50" s="393" t="s">
        <v>17</v>
      </c>
      <c r="E50" s="393" t="s">
        <v>13</v>
      </c>
      <c r="F50" s="393" t="s">
        <v>16</v>
      </c>
      <c r="G50" s="393"/>
      <c r="H50" s="393"/>
      <c r="I50" s="393"/>
      <c r="J50" s="394" t="s">
        <v>166</v>
      </c>
      <c r="K50" s="209">
        <v>0</v>
      </c>
      <c r="L50" s="488"/>
    </row>
    <row r="51" spans="1:12" ht="63" x14ac:dyDescent="0.2">
      <c r="A51" s="401" t="s">
        <v>6</v>
      </c>
      <c r="B51" s="402" t="s">
        <v>17</v>
      </c>
      <c r="C51" s="402" t="s">
        <v>17</v>
      </c>
      <c r="D51" s="402" t="s">
        <v>17</v>
      </c>
      <c r="E51" s="402" t="s">
        <v>14</v>
      </c>
      <c r="F51" s="402"/>
      <c r="G51" s="402"/>
      <c r="H51" s="402"/>
      <c r="I51" s="402"/>
      <c r="J51" s="403" t="s">
        <v>31</v>
      </c>
      <c r="K51" s="223">
        <f>+K52</f>
        <v>21476388711</v>
      </c>
      <c r="L51" s="492">
        <f>+L52</f>
        <v>17531157370</v>
      </c>
    </row>
    <row r="52" spans="1:12" ht="31.5" x14ac:dyDescent="0.2">
      <c r="A52" s="383" t="s">
        <v>6</v>
      </c>
      <c r="B52" s="384" t="s">
        <v>17</v>
      </c>
      <c r="C52" s="384" t="s">
        <v>17</v>
      </c>
      <c r="D52" s="384" t="s">
        <v>17</v>
      </c>
      <c r="E52" s="384" t="s">
        <v>14</v>
      </c>
      <c r="F52" s="384" t="s">
        <v>8</v>
      </c>
      <c r="G52" s="384"/>
      <c r="H52" s="384"/>
      <c r="I52" s="384"/>
      <c r="J52" s="385" t="s">
        <v>164</v>
      </c>
      <c r="K52" s="255">
        <f>+K53+K54</f>
        <v>21476388711</v>
      </c>
      <c r="L52" s="493">
        <f>+L53+L54</f>
        <v>17531157370</v>
      </c>
    </row>
    <row r="53" spans="1:12" ht="254.25" customHeight="1" x14ac:dyDescent="0.2">
      <c r="A53" s="386" t="s">
        <v>6</v>
      </c>
      <c r="B53" s="387" t="s">
        <v>17</v>
      </c>
      <c r="C53" s="387" t="s">
        <v>17</v>
      </c>
      <c r="D53" s="387" t="s">
        <v>17</v>
      </c>
      <c r="E53" s="387" t="s">
        <v>14</v>
      </c>
      <c r="F53" s="387" t="s">
        <v>8</v>
      </c>
      <c r="G53" s="387"/>
      <c r="H53" s="387"/>
      <c r="I53" s="387"/>
      <c r="J53" s="399" t="s">
        <v>200</v>
      </c>
      <c r="K53" s="215">
        <f>18498245629-2226856918</f>
        <v>16271388711</v>
      </c>
      <c r="L53" s="487">
        <f>3647263711+175322631+56479008+78364845+44894067+93199685+27975472+76812055+100878195+7851217701</f>
        <v>12152407370</v>
      </c>
    </row>
    <row r="54" spans="1:12" ht="71.25" customHeight="1" x14ac:dyDescent="0.2">
      <c r="A54" s="386" t="s">
        <v>6</v>
      </c>
      <c r="B54" s="387" t="s">
        <v>17</v>
      </c>
      <c r="C54" s="387" t="s">
        <v>17</v>
      </c>
      <c r="D54" s="387" t="s">
        <v>17</v>
      </c>
      <c r="E54" s="387" t="s">
        <v>14</v>
      </c>
      <c r="F54" s="387" t="s">
        <v>9</v>
      </c>
      <c r="G54" s="387"/>
      <c r="H54" s="387"/>
      <c r="I54" s="387"/>
      <c r="J54" s="399" t="s">
        <v>210</v>
      </c>
      <c r="K54" s="218">
        <v>5205000000</v>
      </c>
      <c r="L54" s="487">
        <f>4537150000+841600000</f>
        <v>5378750000</v>
      </c>
    </row>
    <row r="55" spans="1:12" ht="30" hidden="1" x14ac:dyDescent="0.2">
      <c r="A55" s="386" t="s">
        <v>6</v>
      </c>
      <c r="B55" s="387" t="s">
        <v>17</v>
      </c>
      <c r="C55" s="387" t="s">
        <v>17</v>
      </c>
      <c r="D55" s="387" t="s">
        <v>17</v>
      </c>
      <c r="E55" s="387" t="s">
        <v>14</v>
      </c>
      <c r="F55" s="387" t="s">
        <v>8</v>
      </c>
      <c r="G55" s="387" t="s">
        <v>18</v>
      </c>
      <c r="H55" s="387" t="s">
        <v>65</v>
      </c>
      <c r="I55" s="387" t="s">
        <v>7</v>
      </c>
      <c r="J55" s="399" t="s">
        <v>152</v>
      </c>
      <c r="K55" s="215"/>
      <c r="L55" s="487"/>
    </row>
    <row r="56" spans="1:12" ht="31.5" hidden="1" customHeight="1" x14ac:dyDescent="0.2">
      <c r="A56" s="386" t="s">
        <v>6</v>
      </c>
      <c r="B56" s="387" t="s">
        <v>17</v>
      </c>
      <c r="C56" s="387" t="s">
        <v>17</v>
      </c>
      <c r="D56" s="387" t="s">
        <v>17</v>
      </c>
      <c r="E56" s="387" t="s">
        <v>14</v>
      </c>
      <c r="F56" s="387" t="s">
        <v>8</v>
      </c>
      <c r="G56" s="387" t="s">
        <v>18</v>
      </c>
      <c r="H56" s="387" t="s">
        <v>65</v>
      </c>
      <c r="I56" s="387" t="s">
        <v>39</v>
      </c>
      <c r="J56" s="399" t="s">
        <v>153</v>
      </c>
      <c r="K56" s="215"/>
      <c r="L56" s="494"/>
    </row>
    <row r="57" spans="1:12" ht="47.25" x14ac:dyDescent="0.2">
      <c r="A57" s="401" t="s">
        <v>6</v>
      </c>
      <c r="B57" s="402" t="s">
        <v>17</v>
      </c>
      <c r="C57" s="402" t="s">
        <v>17</v>
      </c>
      <c r="D57" s="402" t="s">
        <v>17</v>
      </c>
      <c r="E57" s="402" t="s">
        <v>15</v>
      </c>
      <c r="F57" s="402"/>
      <c r="G57" s="402"/>
      <c r="H57" s="402"/>
      <c r="I57" s="402"/>
      <c r="J57" s="403" t="s">
        <v>32</v>
      </c>
      <c r="K57" s="223">
        <f>+K58+K60+K62+K65+K70</f>
        <v>33229604418</v>
      </c>
      <c r="L57" s="492">
        <f>+L58+L60+L62+L65+L70</f>
        <v>36770093912</v>
      </c>
    </row>
    <row r="58" spans="1:12" s="208" customFormat="1" ht="36" customHeight="1" x14ac:dyDescent="0.2">
      <c r="A58" s="384" t="s">
        <v>6</v>
      </c>
      <c r="B58" s="384" t="s">
        <v>17</v>
      </c>
      <c r="C58" s="384" t="s">
        <v>17</v>
      </c>
      <c r="D58" s="384" t="s">
        <v>17</v>
      </c>
      <c r="E58" s="384" t="s">
        <v>15</v>
      </c>
      <c r="F58" s="384" t="s">
        <v>10</v>
      </c>
      <c r="G58" s="384"/>
      <c r="H58" s="384"/>
      <c r="I58" s="384"/>
      <c r="J58" s="385" t="s">
        <v>202</v>
      </c>
      <c r="K58" s="224">
        <f>+K59</f>
        <v>2090943144</v>
      </c>
      <c r="L58" s="491">
        <f>+L59</f>
        <v>1320671244</v>
      </c>
    </row>
    <row r="59" spans="1:12" s="208" customFormat="1" ht="55.5" customHeight="1" x14ac:dyDescent="0.2">
      <c r="A59" s="393" t="s">
        <v>6</v>
      </c>
      <c r="B59" s="393" t="s">
        <v>17</v>
      </c>
      <c r="C59" s="393" t="s">
        <v>17</v>
      </c>
      <c r="D59" s="393" t="s">
        <v>17</v>
      </c>
      <c r="E59" s="393" t="s">
        <v>15</v>
      </c>
      <c r="F59" s="393" t="s">
        <v>10</v>
      </c>
      <c r="G59" s="393"/>
      <c r="H59" s="393"/>
      <c r="I59" s="393"/>
      <c r="J59" s="394" t="s">
        <v>202</v>
      </c>
      <c r="K59" s="222">
        <v>2090943144</v>
      </c>
      <c r="L59" s="488">
        <f>770671244+550000000</f>
        <v>1320671244</v>
      </c>
    </row>
    <row r="60" spans="1:12" s="208" customFormat="1" ht="47.25" x14ac:dyDescent="0.2">
      <c r="A60" s="384" t="s">
        <v>6</v>
      </c>
      <c r="B60" s="384" t="s">
        <v>17</v>
      </c>
      <c r="C60" s="384" t="s">
        <v>17</v>
      </c>
      <c r="D60" s="384" t="s">
        <v>17</v>
      </c>
      <c r="E60" s="384" t="s">
        <v>15</v>
      </c>
      <c r="F60" s="384" t="s">
        <v>11</v>
      </c>
      <c r="G60" s="384"/>
      <c r="H60" s="384"/>
      <c r="I60" s="384"/>
      <c r="J60" s="385" t="s">
        <v>162</v>
      </c>
      <c r="K60" s="224">
        <f>+K61</f>
        <v>30997163</v>
      </c>
      <c r="L60" s="491">
        <f>+L61</f>
        <v>31927077</v>
      </c>
    </row>
    <row r="61" spans="1:12" s="208" customFormat="1" ht="27.75" customHeight="1" x14ac:dyDescent="0.2">
      <c r="A61" s="393" t="s">
        <v>6</v>
      </c>
      <c r="B61" s="393" t="s">
        <v>17</v>
      </c>
      <c r="C61" s="393" t="s">
        <v>17</v>
      </c>
      <c r="D61" s="393" t="s">
        <v>17</v>
      </c>
      <c r="E61" s="393" t="s">
        <v>15</v>
      </c>
      <c r="F61" s="393" t="s">
        <v>11</v>
      </c>
      <c r="G61" s="393" t="s">
        <v>45</v>
      </c>
      <c r="H61" s="393"/>
      <c r="I61" s="393"/>
      <c r="J61" s="394" t="s">
        <v>205</v>
      </c>
      <c r="K61" s="222">
        <v>30997163</v>
      </c>
      <c r="L61" s="488">
        <v>31927077</v>
      </c>
    </row>
    <row r="62" spans="1:12" s="208" customFormat="1" ht="27.75" customHeight="1" x14ac:dyDescent="0.2">
      <c r="A62" s="384" t="s">
        <v>6</v>
      </c>
      <c r="B62" s="384" t="s">
        <v>17</v>
      </c>
      <c r="C62" s="384" t="s">
        <v>17</v>
      </c>
      <c r="D62" s="384" t="s">
        <v>17</v>
      </c>
      <c r="E62" s="384" t="s">
        <v>15</v>
      </c>
      <c r="F62" s="384" t="s">
        <v>12</v>
      </c>
      <c r="G62" s="384"/>
      <c r="H62" s="384"/>
      <c r="I62" s="384"/>
      <c r="J62" s="385" t="s">
        <v>165</v>
      </c>
      <c r="K62" s="254">
        <f>+K63+K64</f>
        <v>28617740621</v>
      </c>
      <c r="L62" s="495">
        <f>+L63+L64</f>
        <v>32650607867</v>
      </c>
    </row>
    <row r="63" spans="1:12" s="208" customFormat="1" ht="82.5" customHeight="1" x14ac:dyDescent="0.2">
      <c r="A63" s="393" t="s">
        <v>6</v>
      </c>
      <c r="B63" s="393" t="s">
        <v>17</v>
      </c>
      <c r="C63" s="393" t="s">
        <v>17</v>
      </c>
      <c r="D63" s="393" t="s">
        <v>17</v>
      </c>
      <c r="E63" s="393" t="s">
        <v>15</v>
      </c>
      <c r="F63" s="393" t="s">
        <v>12</v>
      </c>
      <c r="G63" s="393" t="s">
        <v>17</v>
      </c>
      <c r="H63" s="393"/>
      <c r="I63" s="393"/>
      <c r="J63" s="394" t="s">
        <v>57</v>
      </c>
      <c r="K63" s="209">
        <f>22783793710+2226856918</f>
        <v>25010650628</v>
      </c>
      <c r="L63" s="488">
        <v>28646737975</v>
      </c>
    </row>
    <row r="64" spans="1:12" s="208" customFormat="1" ht="75.75" customHeight="1" x14ac:dyDescent="0.2">
      <c r="A64" s="393" t="s">
        <v>6</v>
      </c>
      <c r="B64" s="393" t="s">
        <v>17</v>
      </c>
      <c r="C64" s="393" t="s">
        <v>17</v>
      </c>
      <c r="D64" s="393" t="s">
        <v>17</v>
      </c>
      <c r="E64" s="393" t="s">
        <v>15</v>
      </c>
      <c r="F64" s="393" t="s">
        <v>12</v>
      </c>
      <c r="G64" s="393" t="s">
        <v>10</v>
      </c>
      <c r="H64" s="393"/>
      <c r="I64" s="393"/>
      <c r="J64" s="394" t="s">
        <v>154</v>
      </c>
      <c r="K64" s="209">
        <v>3607089993</v>
      </c>
      <c r="L64" s="488">
        <v>4003869892</v>
      </c>
    </row>
    <row r="65" spans="1:12" ht="56.25" customHeight="1" x14ac:dyDescent="0.2">
      <c r="A65" s="398" t="s">
        <v>6</v>
      </c>
      <c r="B65" s="397" t="s">
        <v>17</v>
      </c>
      <c r="C65" s="397" t="s">
        <v>17</v>
      </c>
      <c r="D65" s="397" t="s">
        <v>17</v>
      </c>
      <c r="E65" s="397" t="s">
        <v>15</v>
      </c>
      <c r="F65" s="397" t="s">
        <v>14</v>
      </c>
      <c r="G65" s="397"/>
      <c r="H65" s="397"/>
      <c r="I65" s="397"/>
      <c r="J65" s="385" t="s">
        <v>167</v>
      </c>
      <c r="K65" s="224">
        <f>+K67+K68+K69</f>
        <v>2211445394</v>
      </c>
      <c r="L65" s="491">
        <f>+L67+L68+L69</f>
        <v>2389468023</v>
      </c>
    </row>
    <row r="66" spans="1:12" ht="30" hidden="1" x14ac:dyDescent="0.2">
      <c r="A66" s="393" t="s">
        <v>6</v>
      </c>
      <c r="B66" s="393" t="s">
        <v>17</v>
      </c>
      <c r="C66" s="393" t="s">
        <v>17</v>
      </c>
      <c r="D66" s="393" t="s">
        <v>17</v>
      </c>
      <c r="E66" s="393" t="s">
        <v>15</v>
      </c>
      <c r="F66" s="393" t="s">
        <v>14</v>
      </c>
      <c r="G66" s="393" t="s">
        <v>7</v>
      </c>
      <c r="H66" s="393" t="s">
        <v>50</v>
      </c>
      <c r="I66" s="393"/>
      <c r="J66" s="394" t="s">
        <v>176</v>
      </c>
      <c r="K66" s="209">
        <v>0</v>
      </c>
      <c r="L66" s="496">
        <v>0</v>
      </c>
    </row>
    <row r="67" spans="1:12" ht="63.75" customHeight="1" x14ac:dyDescent="0.2">
      <c r="A67" s="393" t="s">
        <v>6</v>
      </c>
      <c r="B67" s="393" t="s">
        <v>17</v>
      </c>
      <c r="C67" s="393" t="s">
        <v>17</v>
      </c>
      <c r="D67" s="393" t="s">
        <v>17</v>
      </c>
      <c r="E67" s="393" t="s">
        <v>15</v>
      </c>
      <c r="F67" s="393" t="s">
        <v>14</v>
      </c>
      <c r="G67" s="393" t="s">
        <v>7</v>
      </c>
      <c r="H67" s="393" t="s">
        <v>174</v>
      </c>
      <c r="I67" s="393"/>
      <c r="J67" s="394" t="s">
        <v>175</v>
      </c>
      <c r="K67" s="209">
        <v>636864240</v>
      </c>
      <c r="L67" s="488">
        <f>630140370</f>
        <v>630140370</v>
      </c>
    </row>
    <row r="68" spans="1:12" s="208" customFormat="1" ht="201" customHeight="1" x14ac:dyDescent="0.2">
      <c r="A68" s="393" t="s">
        <v>6</v>
      </c>
      <c r="B68" s="393" t="s">
        <v>17</v>
      </c>
      <c r="C68" s="393" t="s">
        <v>17</v>
      </c>
      <c r="D68" s="393" t="s">
        <v>17</v>
      </c>
      <c r="E68" s="393" t="s">
        <v>15</v>
      </c>
      <c r="F68" s="393" t="s">
        <v>14</v>
      </c>
      <c r="G68" s="393" t="s">
        <v>17</v>
      </c>
      <c r="H68" s="393" t="s">
        <v>150</v>
      </c>
      <c r="I68" s="393"/>
      <c r="J68" s="399" t="s">
        <v>155</v>
      </c>
      <c r="K68" s="225">
        <v>1153420193</v>
      </c>
      <c r="L68" s="488">
        <f>269079435+150000000+95156394+669488779+47103045</f>
        <v>1230827653</v>
      </c>
    </row>
    <row r="69" spans="1:12" s="208" customFormat="1" ht="341.25" customHeight="1" x14ac:dyDescent="0.2">
      <c r="A69" s="393" t="s">
        <v>6</v>
      </c>
      <c r="B69" s="393" t="s">
        <v>17</v>
      </c>
      <c r="C69" s="393" t="s">
        <v>17</v>
      </c>
      <c r="D69" s="393" t="s">
        <v>17</v>
      </c>
      <c r="E69" s="393" t="s">
        <v>15</v>
      </c>
      <c r="F69" s="393" t="s">
        <v>14</v>
      </c>
      <c r="G69" s="393" t="s">
        <v>17</v>
      </c>
      <c r="H69" s="393" t="s">
        <v>65</v>
      </c>
      <c r="I69" s="393"/>
      <c r="J69" s="399" t="s">
        <v>211</v>
      </c>
      <c r="K69" s="225">
        <v>421160961</v>
      </c>
      <c r="L69" s="488">
        <f>120000000+42000000+32000000+40000000+30000000+64000000+60000000+10000000+30000000+28000000+2500000+70000000</f>
        <v>528500000</v>
      </c>
    </row>
    <row r="70" spans="1:12" s="208" customFormat="1" ht="36.75" customHeight="1" x14ac:dyDescent="0.2">
      <c r="A70" s="384" t="s">
        <v>6</v>
      </c>
      <c r="B70" s="384" t="s">
        <v>17</v>
      </c>
      <c r="C70" s="384" t="s">
        <v>17</v>
      </c>
      <c r="D70" s="384" t="s">
        <v>17</v>
      </c>
      <c r="E70" s="384" t="s">
        <v>15</v>
      </c>
      <c r="F70" s="384" t="s">
        <v>16</v>
      </c>
      <c r="G70" s="384"/>
      <c r="H70" s="384"/>
      <c r="I70" s="384"/>
      <c r="J70" s="385" t="s">
        <v>168</v>
      </c>
      <c r="K70" s="226">
        <f>+K71</f>
        <v>278478096</v>
      </c>
      <c r="L70" s="497">
        <f>+L71</f>
        <v>377419701</v>
      </c>
    </row>
    <row r="71" spans="1:12" s="208" customFormat="1" ht="69.75" customHeight="1" x14ac:dyDescent="0.2">
      <c r="A71" s="393" t="s">
        <v>6</v>
      </c>
      <c r="B71" s="393" t="s">
        <v>17</v>
      </c>
      <c r="C71" s="393" t="s">
        <v>17</v>
      </c>
      <c r="D71" s="393" t="s">
        <v>17</v>
      </c>
      <c r="E71" s="393" t="s">
        <v>15</v>
      </c>
      <c r="F71" s="393" t="s">
        <v>16</v>
      </c>
      <c r="G71" s="393" t="s">
        <v>17</v>
      </c>
      <c r="H71" s="393"/>
      <c r="I71" s="393"/>
      <c r="J71" s="389" t="s">
        <v>59</v>
      </c>
      <c r="K71" s="225">
        <v>278478096</v>
      </c>
      <c r="L71" s="488">
        <f>98710396+278709305</f>
        <v>377419701</v>
      </c>
    </row>
    <row r="72" spans="1:12" s="208" customFormat="1" ht="3.95" customHeight="1" x14ac:dyDescent="0.2">
      <c r="A72" s="404"/>
      <c r="B72" s="404"/>
      <c r="C72" s="404"/>
      <c r="D72" s="404"/>
      <c r="E72" s="404"/>
      <c r="F72" s="404"/>
      <c r="G72" s="404"/>
      <c r="H72" s="404"/>
      <c r="I72" s="404"/>
      <c r="J72" s="405"/>
      <c r="K72" s="219"/>
      <c r="L72" s="498"/>
    </row>
    <row r="73" spans="1:12" ht="28.15" customHeight="1" x14ac:dyDescent="0.2">
      <c r="A73" s="380" t="s">
        <v>6</v>
      </c>
      <c r="B73" s="381" t="s">
        <v>18</v>
      </c>
      <c r="C73" s="381"/>
      <c r="D73" s="381"/>
      <c r="E73" s="381"/>
      <c r="F73" s="381"/>
      <c r="G73" s="381"/>
      <c r="H73" s="381"/>
      <c r="I73" s="381"/>
      <c r="J73" s="382" t="s">
        <v>34</v>
      </c>
      <c r="K73" s="205">
        <f>+K74+K77</f>
        <v>20311570390</v>
      </c>
      <c r="L73" s="485">
        <f>+L74+L77</f>
        <v>369559013</v>
      </c>
    </row>
    <row r="74" spans="1:12" ht="25.9" customHeight="1" x14ac:dyDescent="0.2">
      <c r="A74" s="380" t="s">
        <v>6</v>
      </c>
      <c r="B74" s="381" t="s">
        <v>18</v>
      </c>
      <c r="C74" s="381" t="s">
        <v>18</v>
      </c>
      <c r="D74" s="381"/>
      <c r="E74" s="381"/>
      <c r="F74" s="381"/>
      <c r="G74" s="381"/>
      <c r="H74" s="381"/>
      <c r="I74" s="381"/>
      <c r="J74" s="382" t="s">
        <v>35</v>
      </c>
      <c r="K74" s="205">
        <f>+K75</f>
        <v>20000000000</v>
      </c>
      <c r="L74" s="485">
        <f>+L75</f>
        <v>0</v>
      </c>
    </row>
    <row r="75" spans="1:12" ht="25.15" customHeight="1" x14ac:dyDescent="0.2">
      <c r="A75" s="380" t="s">
        <v>6</v>
      </c>
      <c r="B75" s="381" t="s">
        <v>18</v>
      </c>
      <c r="C75" s="381" t="s">
        <v>18</v>
      </c>
      <c r="D75" s="381" t="s">
        <v>7</v>
      </c>
      <c r="E75" s="381"/>
      <c r="F75" s="381"/>
      <c r="G75" s="381"/>
      <c r="H75" s="381"/>
      <c r="I75" s="381"/>
      <c r="J75" s="382" t="s">
        <v>36</v>
      </c>
      <c r="K75" s="205">
        <f>+K76</f>
        <v>20000000000</v>
      </c>
      <c r="L75" s="485">
        <f>+L76</f>
        <v>0</v>
      </c>
    </row>
    <row r="76" spans="1:12" ht="40.9" customHeight="1" x14ac:dyDescent="0.2">
      <c r="A76" s="383" t="s">
        <v>6</v>
      </c>
      <c r="B76" s="384" t="s">
        <v>18</v>
      </c>
      <c r="C76" s="384" t="s">
        <v>18</v>
      </c>
      <c r="D76" s="384" t="s">
        <v>7</v>
      </c>
      <c r="E76" s="384" t="s">
        <v>37</v>
      </c>
      <c r="F76" s="384"/>
      <c r="G76" s="384"/>
      <c r="H76" s="384"/>
      <c r="I76" s="384"/>
      <c r="J76" s="385" t="s">
        <v>38</v>
      </c>
      <c r="K76" s="206">
        <v>20000000000</v>
      </c>
      <c r="L76" s="499">
        <v>0</v>
      </c>
    </row>
    <row r="77" spans="1:12" ht="25.15" customHeight="1" x14ac:dyDescent="0.2">
      <c r="A77" s="380" t="s">
        <v>6</v>
      </c>
      <c r="B77" s="381" t="s">
        <v>18</v>
      </c>
      <c r="C77" s="381" t="s">
        <v>39</v>
      </c>
      <c r="D77" s="381" t="s">
        <v>33</v>
      </c>
      <c r="E77" s="381" t="s">
        <v>33</v>
      </c>
      <c r="F77" s="381"/>
      <c r="G77" s="381"/>
      <c r="H77" s="381"/>
      <c r="I77" s="381"/>
      <c r="J77" s="382" t="s">
        <v>40</v>
      </c>
      <c r="K77" s="205">
        <f>+K78</f>
        <v>311570390</v>
      </c>
      <c r="L77" s="485">
        <f>+L78</f>
        <v>369559013</v>
      </c>
    </row>
    <row r="78" spans="1:12" ht="25.15" customHeight="1" x14ac:dyDescent="0.2">
      <c r="A78" s="380" t="s">
        <v>6</v>
      </c>
      <c r="B78" s="381" t="s">
        <v>18</v>
      </c>
      <c r="C78" s="381" t="s">
        <v>39</v>
      </c>
      <c r="D78" s="381" t="s">
        <v>7</v>
      </c>
      <c r="E78" s="381" t="s">
        <v>33</v>
      </c>
      <c r="F78" s="381"/>
      <c r="G78" s="381"/>
      <c r="H78" s="381"/>
      <c r="I78" s="381"/>
      <c r="J78" s="382" t="s">
        <v>41</v>
      </c>
      <c r="K78" s="205">
        <f>+K79+K80</f>
        <v>311570390</v>
      </c>
      <c r="L78" s="485">
        <f>+L79+L80</f>
        <v>369559013</v>
      </c>
    </row>
    <row r="79" spans="1:12" ht="26.45" customHeight="1" x14ac:dyDescent="0.2">
      <c r="A79" s="383" t="s">
        <v>6</v>
      </c>
      <c r="B79" s="384" t="s">
        <v>18</v>
      </c>
      <c r="C79" s="384" t="s">
        <v>39</v>
      </c>
      <c r="D79" s="384" t="s">
        <v>7</v>
      </c>
      <c r="E79" s="384" t="s">
        <v>8</v>
      </c>
      <c r="F79" s="384"/>
      <c r="G79" s="384"/>
      <c r="H79" s="384"/>
      <c r="I79" s="384"/>
      <c r="J79" s="385" t="s">
        <v>42</v>
      </c>
      <c r="K79" s="206">
        <v>218560000</v>
      </c>
      <c r="L79" s="486">
        <v>273758312</v>
      </c>
    </row>
    <row r="80" spans="1:12" ht="24.6" customHeight="1" x14ac:dyDescent="0.2">
      <c r="A80" s="383" t="s">
        <v>6</v>
      </c>
      <c r="B80" s="384" t="s">
        <v>18</v>
      </c>
      <c r="C80" s="384" t="s">
        <v>39</v>
      </c>
      <c r="D80" s="384" t="s">
        <v>7</v>
      </c>
      <c r="E80" s="384" t="s">
        <v>9</v>
      </c>
      <c r="F80" s="384"/>
      <c r="G80" s="384"/>
      <c r="H80" s="384"/>
      <c r="I80" s="384"/>
      <c r="J80" s="385" t="s">
        <v>74</v>
      </c>
      <c r="K80" s="206">
        <v>93010390</v>
      </c>
      <c r="L80" s="486">
        <v>95800701</v>
      </c>
    </row>
    <row r="81" spans="1:12" ht="15" hidden="1" x14ac:dyDescent="0.2">
      <c r="A81" s="406"/>
      <c r="B81" s="406"/>
      <c r="C81" s="406"/>
      <c r="D81" s="406"/>
      <c r="E81" s="406"/>
      <c r="F81" s="406"/>
      <c r="G81" s="406"/>
      <c r="H81" s="406"/>
      <c r="I81" s="406"/>
      <c r="J81" s="405"/>
      <c r="K81" s="219"/>
      <c r="L81" s="498"/>
    </row>
    <row r="82" spans="1:12" ht="43.15" customHeight="1" x14ac:dyDescent="0.2">
      <c r="A82" s="380" t="s">
        <v>6</v>
      </c>
      <c r="B82" s="381" t="s">
        <v>43</v>
      </c>
      <c r="C82" s="381" t="s">
        <v>33</v>
      </c>
      <c r="D82" s="381" t="s">
        <v>33</v>
      </c>
      <c r="E82" s="381"/>
      <c r="F82" s="381"/>
      <c r="G82" s="381"/>
      <c r="H82" s="381"/>
      <c r="I82" s="381"/>
      <c r="J82" s="382" t="s">
        <v>44</v>
      </c>
      <c r="K82" s="205">
        <f>+K83+K91+K92</f>
        <v>2189014088</v>
      </c>
      <c r="L82" s="485">
        <f>+L83+L91+L92</f>
        <v>2449171658</v>
      </c>
    </row>
    <row r="83" spans="1:12" ht="27" customHeight="1" x14ac:dyDescent="0.2">
      <c r="A83" s="380" t="s">
        <v>6</v>
      </c>
      <c r="B83" s="381" t="s">
        <v>43</v>
      </c>
      <c r="C83" s="381" t="s">
        <v>7</v>
      </c>
      <c r="D83" s="381"/>
      <c r="E83" s="381"/>
      <c r="F83" s="381"/>
      <c r="G83" s="381"/>
      <c r="H83" s="381"/>
      <c r="I83" s="381"/>
      <c r="J83" s="382" t="s">
        <v>60</v>
      </c>
      <c r="K83" s="205">
        <f>+K84</f>
        <v>1828306530</v>
      </c>
      <c r="L83" s="485">
        <f>+L84</f>
        <v>1953733665</v>
      </c>
    </row>
    <row r="84" spans="1:12" ht="27" customHeight="1" x14ac:dyDescent="0.2">
      <c r="A84" s="380" t="s">
        <v>6</v>
      </c>
      <c r="B84" s="381" t="s">
        <v>43</v>
      </c>
      <c r="C84" s="381" t="s">
        <v>17</v>
      </c>
      <c r="D84" s="381"/>
      <c r="E84" s="381"/>
      <c r="F84" s="381"/>
      <c r="G84" s="381"/>
      <c r="H84" s="381"/>
      <c r="I84" s="381"/>
      <c r="J84" s="382" t="s">
        <v>75</v>
      </c>
      <c r="K84" s="205">
        <f>+SUM(K85:K89)</f>
        <v>1828306530</v>
      </c>
      <c r="L84" s="485">
        <f>+SUM(L85:L89)</f>
        <v>1953733665</v>
      </c>
    </row>
    <row r="85" spans="1:12" ht="27" customHeight="1" x14ac:dyDescent="0.2">
      <c r="A85" s="383" t="s">
        <v>6</v>
      </c>
      <c r="B85" s="384" t="s">
        <v>43</v>
      </c>
      <c r="C85" s="384" t="s">
        <v>17</v>
      </c>
      <c r="D85" s="384" t="s">
        <v>8</v>
      </c>
      <c r="E85" s="384"/>
      <c r="F85" s="384"/>
      <c r="G85" s="384"/>
      <c r="H85" s="384"/>
      <c r="I85" s="384"/>
      <c r="J85" s="385" t="s">
        <v>61</v>
      </c>
      <c r="K85" s="231">
        <v>1803806530</v>
      </c>
      <c r="L85" s="500">
        <v>1951718665</v>
      </c>
    </row>
    <row r="86" spans="1:12" ht="18.600000000000001" hidden="1" customHeight="1" x14ac:dyDescent="0.2">
      <c r="A86" s="383" t="s">
        <v>6</v>
      </c>
      <c r="B86" s="384" t="s">
        <v>43</v>
      </c>
      <c r="C86" s="384" t="s">
        <v>17</v>
      </c>
      <c r="D86" s="384" t="s">
        <v>8</v>
      </c>
      <c r="E86" s="384"/>
      <c r="F86" s="384"/>
      <c r="G86" s="384"/>
      <c r="H86" s="384"/>
      <c r="I86" s="384"/>
      <c r="J86" s="385" t="s">
        <v>161</v>
      </c>
      <c r="K86" s="230"/>
      <c r="L86" s="500"/>
    </row>
    <row r="87" spans="1:12" ht="18.600000000000001" hidden="1" customHeight="1" x14ac:dyDescent="0.2">
      <c r="A87" s="383" t="s">
        <v>6</v>
      </c>
      <c r="B87" s="384" t="s">
        <v>43</v>
      </c>
      <c r="C87" s="384" t="s">
        <v>17</v>
      </c>
      <c r="D87" s="384" t="s">
        <v>10</v>
      </c>
      <c r="E87" s="384"/>
      <c r="F87" s="384"/>
      <c r="G87" s="384"/>
      <c r="H87" s="384"/>
      <c r="I87" s="384"/>
      <c r="J87" s="385" t="s">
        <v>62</v>
      </c>
      <c r="K87" s="231"/>
      <c r="L87" s="500"/>
    </row>
    <row r="88" spans="1:12" ht="25.15" customHeight="1" x14ac:dyDescent="0.2">
      <c r="A88" s="383" t="s">
        <v>6</v>
      </c>
      <c r="B88" s="384" t="s">
        <v>43</v>
      </c>
      <c r="C88" s="384" t="s">
        <v>17</v>
      </c>
      <c r="D88" s="384" t="s">
        <v>12</v>
      </c>
      <c r="E88" s="384"/>
      <c r="F88" s="384"/>
      <c r="G88" s="384"/>
      <c r="H88" s="384"/>
      <c r="I88" s="384"/>
      <c r="J88" s="385" t="s">
        <v>63</v>
      </c>
      <c r="K88" s="231">
        <v>20000000</v>
      </c>
      <c r="L88" s="500">
        <v>0</v>
      </c>
    </row>
    <row r="89" spans="1:12" ht="39.6" customHeight="1" x14ac:dyDescent="0.2">
      <c r="A89" s="383" t="s">
        <v>6</v>
      </c>
      <c r="B89" s="384" t="s">
        <v>43</v>
      </c>
      <c r="C89" s="384" t="s">
        <v>17</v>
      </c>
      <c r="D89" s="384" t="s">
        <v>13</v>
      </c>
      <c r="E89" s="384"/>
      <c r="F89" s="384"/>
      <c r="G89" s="384"/>
      <c r="H89" s="384"/>
      <c r="I89" s="384"/>
      <c r="J89" s="385" t="s">
        <v>64</v>
      </c>
      <c r="K89" s="231">
        <v>4500000</v>
      </c>
      <c r="L89" s="500">
        <v>2015000</v>
      </c>
    </row>
    <row r="90" spans="1:12" ht="15" hidden="1" customHeight="1" x14ac:dyDescent="0.2">
      <c r="A90" s="383" t="s">
        <v>6</v>
      </c>
      <c r="B90" s="384" t="s">
        <v>43</v>
      </c>
      <c r="C90" s="384" t="s">
        <v>18</v>
      </c>
      <c r="D90" s="384"/>
      <c r="E90" s="384"/>
      <c r="F90" s="384"/>
      <c r="G90" s="384"/>
      <c r="H90" s="384"/>
      <c r="I90" s="384"/>
      <c r="J90" s="407" t="s">
        <v>76</v>
      </c>
      <c r="K90" s="214"/>
      <c r="L90" s="499"/>
    </row>
    <row r="91" spans="1:12" ht="33.6" hidden="1" customHeight="1" x14ac:dyDescent="0.2">
      <c r="A91" s="380" t="s">
        <v>6</v>
      </c>
      <c r="B91" s="381" t="s">
        <v>43</v>
      </c>
      <c r="C91" s="381" t="s">
        <v>18</v>
      </c>
      <c r="D91" s="381" t="s">
        <v>33</v>
      </c>
      <c r="E91" s="381"/>
      <c r="F91" s="381"/>
      <c r="G91" s="381"/>
      <c r="H91" s="381"/>
      <c r="I91" s="381"/>
      <c r="J91" s="408" t="s">
        <v>76</v>
      </c>
      <c r="K91" s="220"/>
      <c r="L91" s="501"/>
    </row>
    <row r="92" spans="1:12" ht="28.15" customHeight="1" x14ac:dyDescent="0.2">
      <c r="A92" s="380" t="s">
        <v>6</v>
      </c>
      <c r="B92" s="381" t="s">
        <v>43</v>
      </c>
      <c r="C92" s="381" t="s">
        <v>45</v>
      </c>
      <c r="D92" s="381" t="s">
        <v>33</v>
      </c>
      <c r="E92" s="381"/>
      <c r="F92" s="381"/>
      <c r="G92" s="381"/>
      <c r="H92" s="381"/>
      <c r="I92" s="381"/>
      <c r="J92" s="408" t="s">
        <v>46</v>
      </c>
      <c r="K92" s="409">
        <f>+K93+K94</f>
        <v>360707558</v>
      </c>
      <c r="L92" s="501">
        <f>+L93+L94</f>
        <v>495437993</v>
      </c>
    </row>
    <row r="93" spans="1:12" ht="30" customHeight="1" x14ac:dyDescent="0.2">
      <c r="A93" s="383" t="s">
        <v>6</v>
      </c>
      <c r="B93" s="384" t="s">
        <v>43</v>
      </c>
      <c r="C93" s="384" t="s">
        <v>45</v>
      </c>
      <c r="D93" s="384" t="s">
        <v>7</v>
      </c>
      <c r="E93" s="384"/>
      <c r="F93" s="384"/>
      <c r="G93" s="384"/>
      <c r="H93" s="384"/>
      <c r="I93" s="384"/>
      <c r="J93" s="410" t="s">
        <v>47</v>
      </c>
      <c r="K93" s="206">
        <v>322691162</v>
      </c>
      <c r="L93" s="486">
        <v>456281105</v>
      </c>
    </row>
    <row r="94" spans="1:12" ht="46.15" customHeight="1" x14ac:dyDescent="0.2">
      <c r="A94" s="383" t="s">
        <v>6</v>
      </c>
      <c r="B94" s="384" t="s">
        <v>43</v>
      </c>
      <c r="C94" s="384" t="s">
        <v>45</v>
      </c>
      <c r="D94" s="384" t="s">
        <v>18</v>
      </c>
      <c r="E94" s="384"/>
      <c r="F94" s="384"/>
      <c r="G94" s="384"/>
      <c r="H94" s="384"/>
      <c r="I94" s="384"/>
      <c r="J94" s="385" t="s">
        <v>136</v>
      </c>
      <c r="K94" s="206">
        <v>38016396</v>
      </c>
      <c r="L94" s="486">
        <f>+ROUND((K94*1.03),0)</f>
        <v>39156888</v>
      </c>
    </row>
    <row r="95" spans="1:12" ht="33" customHeight="1" x14ac:dyDescent="0.2">
      <c r="A95" s="666" t="s">
        <v>48</v>
      </c>
      <c r="B95" s="666"/>
      <c r="C95" s="666"/>
      <c r="D95" s="666"/>
      <c r="E95" s="666"/>
      <c r="F95" s="666"/>
      <c r="G95" s="666"/>
      <c r="H95" s="666"/>
      <c r="I95" s="666"/>
      <c r="J95" s="666"/>
      <c r="K95" s="312">
        <f>+K10+K73+K82</f>
        <v>92500584478</v>
      </c>
      <c r="L95" s="480">
        <f>+L10+L73+L82</f>
        <v>74661701358</v>
      </c>
    </row>
    <row r="96" spans="1:12" ht="27" customHeight="1" x14ac:dyDescent="0.2">
      <c r="A96" s="419"/>
      <c r="B96" s="420"/>
      <c r="C96" s="420"/>
      <c r="D96" s="416"/>
      <c r="E96" s="416"/>
      <c r="F96" s="416"/>
      <c r="G96" s="416"/>
      <c r="H96" s="416"/>
      <c r="I96" s="416"/>
      <c r="J96" s="483"/>
      <c r="K96" s="265"/>
      <c r="L96" s="417"/>
    </row>
    <row r="97" spans="1:18" ht="39.75" customHeight="1" x14ac:dyDescent="0.2">
      <c r="A97" s="424" t="s">
        <v>170</v>
      </c>
      <c r="B97" s="424">
        <v>10</v>
      </c>
      <c r="C97" s="425" t="s">
        <v>45</v>
      </c>
      <c r="D97" s="424"/>
      <c r="E97" s="660" t="s">
        <v>171</v>
      </c>
      <c r="F97" s="660"/>
      <c r="G97" s="660"/>
      <c r="H97" s="660"/>
      <c r="I97" s="660"/>
      <c r="J97" s="660"/>
      <c r="K97" s="426">
        <f>+K98</f>
        <v>0</v>
      </c>
      <c r="L97" s="426">
        <f>+L98</f>
        <v>150327493</v>
      </c>
    </row>
    <row r="98" spans="1:18" ht="42" customHeight="1" x14ac:dyDescent="0.2">
      <c r="A98" s="411" t="s">
        <v>170</v>
      </c>
      <c r="B98" s="411">
        <v>10</v>
      </c>
      <c r="C98" s="412" t="s">
        <v>45</v>
      </c>
      <c r="D98" s="418" t="s">
        <v>7</v>
      </c>
      <c r="E98" s="661" t="s">
        <v>172</v>
      </c>
      <c r="F98" s="661"/>
      <c r="G98" s="661"/>
      <c r="H98" s="661"/>
      <c r="I98" s="661"/>
      <c r="J98" s="661"/>
      <c r="K98" s="239">
        <v>0</v>
      </c>
      <c r="L98" s="239">
        <v>150327493</v>
      </c>
    </row>
    <row r="99" spans="1:18" ht="21.75" customHeight="1" x14ac:dyDescent="0.2">
      <c r="A99" s="662"/>
      <c r="B99" s="662"/>
      <c r="C99" s="662"/>
      <c r="D99" s="662"/>
      <c r="E99" s="662"/>
      <c r="F99" s="662"/>
      <c r="G99" s="662"/>
      <c r="H99" s="662"/>
      <c r="I99" s="662"/>
      <c r="J99" s="662"/>
      <c r="K99" s="221"/>
      <c r="L99" s="310"/>
    </row>
    <row r="100" spans="1:18" ht="59.25" customHeight="1" x14ac:dyDescent="0.2">
      <c r="A100" s="211"/>
      <c r="K100" s="212"/>
    </row>
    <row r="101" spans="1:18" ht="24.95" customHeight="1" thickBot="1" x14ac:dyDescent="0.25">
      <c r="A101" s="211"/>
      <c r="J101" s="663" t="s">
        <v>289</v>
      </c>
      <c r="K101" s="663"/>
      <c r="L101" s="663"/>
    </row>
    <row r="102" spans="1:18" ht="24.95" customHeight="1" x14ac:dyDescent="0.2">
      <c r="A102" s="211"/>
      <c r="J102" s="48" t="s">
        <v>112</v>
      </c>
      <c r="K102" s="53" t="s">
        <v>349</v>
      </c>
      <c r="L102" s="311" t="s">
        <v>350</v>
      </c>
    </row>
    <row r="103" spans="1:18" ht="24.95" customHeight="1" x14ac:dyDescent="0.2">
      <c r="A103" s="211"/>
      <c r="J103" s="415" t="s">
        <v>134</v>
      </c>
      <c r="K103" s="432">
        <f>+K95</f>
        <v>92500584478</v>
      </c>
      <c r="L103" s="213">
        <f>+L95</f>
        <v>74661701358</v>
      </c>
    </row>
    <row r="104" spans="1:18" ht="24.95" customHeight="1" x14ac:dyDescent="0.2">
      <c r="A104" s="211"/>
      <c r="J104" s="415" t="s">
        <v>173</v>
      </c>
      <c r="K104" s="432">
        <v>0</v>
      </c>
      <c r="L104" s="213">
        <f>+L98</f>
        <v>150327493</v>
      </c>
    </row>
    <row r="105" spans="1:18" ht="24.95" customHeight="1" x14ac:dyDescent="0.2">
      <c r="A105" s="211"/>
      <c r="J105" s="415" t="s">
        <v>285</v>
      </c>
      <c r="K105" s="432">
        <f>+'[1]Apropiación presupuestal 2025'!L160</f>
        <v>171718456809</v>
      </c>
      <c r="L105" s="213">
        <v>168551762427</v>
      </c>
    </row>
    <row r="106" spans="1:18" ht="24.95" customHeight="1" x14ac:dyDescent="0.2">
      <c r="A106" s="211"/>
      <c r="J106" s="45" t="s">
        <v>286</v>
      </c>
      <c r="K106" s="433">
        <f>SUM(K103:K105)</f>
        <v>264219041287</v>
      </c>
      <c r="L106" s="414">
        <f>SUM(L103:L105)</f>
        <v>243363791278</v>
      </c>
    </row>
    <row r="107" spans="1:18" ht="24.95" customHeight="1" x14ac:dyDescent="0.2">
      <c r="A107" s="211"/>
      <c r="J107" s="415" t="s">
        <v>288</v>
      </c>
      <c r="K107" s="432">
        <f>+K116+K120</f>
        <v>12420674300</v>
      </c>
      <c r="L107" s="213">
        <f>+L144</f>
        <v>2587951413</v>
      </c>
    </row>
    <row r="108" spans="1:18" ht="24.95" customHeight="1" x14ac:dyDescent="0.25">
      <c r="A108" s="211"/>
      <c r="J108" s="45" t="s">
        <v>287</v>
      </c>
      <c r="K108" s="434">
        <f>+K107</f>
        <v>12420674300</v>
      </c>
      <c r="L108" s="435">
        <f>+L107</f>
        <v>2587951413</v>
      </c>
    </row>
    <row r="109" spans="1:18" ht="24.95" customHeight="1" thickBot="1" x14ac:dyDescent="0.25">
      <c r="A109" s="211"/>
      <c r="J109" s="47" t="s">
        <v>135</v>
      </c>
      <c r="K109" s="196">
        <f>+K106+K108</f>
        <v>276639715587</v>
      </c>
      <c r="L109" s="197">
        <f>+L106+L108</f>
        <v>245951742691</v>
      </c>
    </row>
    <row r="110" spans="1:18" x14ac:dyDescent="0.2">
      <c r="A110" s="211"/>
      <c r="K110" s="212"/>
    </row>
    <row r="111" spans="1:18" x14ac:dyDescent="0.2">
      <c r="A111" s="211"/>
      <c r="K111" s="212"/>
    </row>
    <row r="112" spans="1:18" ht="29.25" customHeight="1" x14ac:dyDescent="0.2">
      <c r="A112" s="664" t="s">
        <v>292</v>
      </c>
      <c r="B112" s="664"/>
      <c r="C112" s="664"/>
      <c r="D112" s="664"/>
      <c r="E112" s="664"/>
      <c r="F112" s="664"/>
      <c r="G112" s="664"/>
      <c r="H112" s="664"/>
      <c r="I112" s="664"/>
      <c r="J112" s="664"/>
      <c r="K112" s="664"/>
      <c r="L112" s="466" t="s">
        <v>342</v>
      </c>
      <c r="M112" s="465"/>
      <c r="N112" s="465"/>
      <c r="O112" s="465"/>
      <c r="P112" s="465"/>
      <c r="Q112" s="465"/>
      <c r="R112" s="465"/>
    </row>
    <row r="113" spans="1:12" x14ac:dyDescent="0.2">
      <c r="A113" s="211"/>
      <c r="K113" s="212"/>
    </row>
    <row r="114" spans="1:12" ht="26.25" customHeight="1" x14ac:dyDescent="0.2">
      <c r="A114" s="281" t="s">
        <v>1</v>
      </c>
      <c r="B114" s="282" t="s">
        <v>177</v>
      </c>
      <c r="C114" s="282" t="s">
        <v>33</v>
      </c>
      <c r="D114" s="282" t="s">
        <v>33</v>
      </c>
      <c r="E114" s="282"/>
      <c r="F114" s="282"/>
      <c r="G114" s="282"/>
      <c r="H114" s="282"/>
      <c r="I114" s="282"/>
      <c r="J114" s="421" t="s">
        <v>178</v>
      </c>
      <c r="K114" s="429">
        <f>+K115</f>
        <v>7190750728</v>
      </c>
      <c r="L114" s="429">
        <f>+L115</f>
        <v>3406473250</v>
      </c>
    </row>
    <row r="115" spans="1:12" ht="21" customHeight="1" x14ac:dyDescent="0.2">
      <c r="A115" s="281" t="s">
        <v>1</v>
      </c>
      <c r="B115" s="282" t="s">
        <v>177</v>
      </c>
      <c r="C115" s="282" t="s">
        <v>49</v>
      </c>
      <c r="D115" s="282" t="s">
        <v>33</v>
      </c>
      <c r="E115" s="282"/>
      <c r="F115" s="282"/>
      <c r="G115" s="282"/>
      <c r="H115" s="282"/>
      <c r="I115" s="282"/>
      <c r="J115" s="421" t="s">
        <v>180</v>
      </c>
      <c r="K115" s="427">
        <f>+K116</f>
        <v>7190750728</v>
      </c>
      <c r="L115" s="427">
        <f>+L116</f>
        <v>3406473250</v>
      </c>
    </row>
    <row r="116" spans="1:12" ht="46.5" customHeight="1" x14ac:dyDescent="0.2">
      <c r="A116" s="368" t="s">
        <v>1</v>
      </c>
      <c r="B116" s="369" t="s">
        <v>177</v>
      </c>
      <c r="C116" s="369" t="s">
        <v>49</v>
      </c>
      <c r="D116" s="369"/>
      <c r="E116" s="369"/>
      <c r="F116" s="369"/>
      <c r="G116" s="369"/>
      <c r="H116" s="369"/>
      <c r="I116" s="369"/>
      <c r="J116" s="423" t="s">
        <v>325</v>
      </c>
      <c r="K116" s="428">
        <v>7190750728</v>
      </c>
      <c r="L116" s="428">
        <v>3406473250</v>
      </c>
    </row>
    <row r="117" spans="1:12" ht="3.95" customHeight="1" x14ac:dyDescent="0.2">
      <c r="A117" s="292"/>
      <c r="B117" s="293"/>
      <c r="C117" s="293"/>
      <c r="D117" s="293"/>
      <c r="E117" s="293"/>
      <c r="F117" s="293"/>
      <c r="G117" s="293"/>
      <c r="H117" s="293"/>
      <c r="I117" s="293"/>
      <c r="J117" s="422"/>
      <c r="K117" s="295"/>
      <c r="L117" s="295"/>
    </row>
    <row r="118" spans="1:12" ht="31.5" customHeight="1" x14ac:dyDescent="0.2">
      <c r="A118" s="281" t="s">
        <v>1</v>
      </c>
      <c r="B118" s="282" t="s">
        <v>179</v>
      </c>
      <c r="C118" s="282" t="s">
        <v>33</v>
      </c>
      <c r="D118" s="282" t="s">
        <v>33</v>
      </c>
      <c r="E118" s="282"/>
      <c r="F118" s="282"/>
      <c r="G118" s="282"/>
      <c r="H118" s="282"/>
      <c r="I118" s="282"/>
      <c r="J118" s="421" t="s">
        <v>219</v>
      </c>
      <c r="K118" s="429">
        <f>+K119</f>
        <v>15039416994</v>
      </c>
      <c r="L118" s="429">
        <f>+L119</f>
        <v>51378415112</v>
      </c>
    </row>
    <row r="119" spans="1:12" ht="19.5" customHeight="1" x14ac:dyDescent="0.2">
      <c r="A119" s="281" t="s">
        <v>1</v>
      </c>
      <c r="B119" s="282" t="s">
        <v>179</v>
      </c>
      <c r="C119" s="282" t="s">
        <v>49</v>
      </c>
      <c r="D119" s="282"/>
      <c r="E119" s="282"/>
      <c r="F119" s="282"/>
      <c r="G119" s="282"/>
      <c r="H119" s="282"/>
      <c r="I119" s="282"/>
      <c r="J119" s="421" t="s">
        <v>180</v>
      </c>
      <c r="K119" s="427">
        <f>+K120+K121</f>
        <v>15039416994</v>
      </c>
      <c r="L119" s="427">
        <f>+L120+L121+L122</f>
        <v>51378415112</v>
      </c>
    </row>
    <row r="120" spans="1:12" ht="65.25" customHeight="1" x14ac:dyDescent="0.2">
      <c r="A120" s="368" t="s">
        <v>1</v>
      </c>
      <c r="B120" s="369" t="s">
        <v>179</v>
      </c>
      <c r="C120" s="369" t="s">
        <v>49</v>
      </c>
      <c r="D120" s="369"/>
      <c r="E120" s="369"/>
      <c r="F120" s="369"/>
      <c r="G120" s="369"/>
      <c r="H120" s="369"/>
      <c r="I120" s="369"/>
      <c r="J120" s="423" t="s">
        <v>221</v>
      </c>
      <c r="K120" s="428">
        <v>5229923572</v>
      </c>
      <c r="L120" s="428">
        <v>3687551410</v>
      </c>
    </row>
    <row r="121" spans="1:12" ht="52.5" customHeight="1" x14ac:dyDescent="0.2">
      <c r="A121" s="368" t="s">
        <v>1</v>
      </c>
      <c r="B121" s="369" t="s">
        <v>179</v>
      </c>
      <c r="C121" s="369" t="s">
        <v>49</v>
      </c>
      <c r="D121" s="369"/>
      <c r="E121" s="369"/>
      <c r="F121" s="369"/>
      <c r="G121" s="369"/>
      <c r="H121" s="369"/>
      <c r="I121" s="369"/>
      <c r="J121" s="423" t="s">
        <v>326</v>
      </c>
      <c r="K121" s="428">
        <v>9809493422</v>
      </c>
      <c r="L121" s="428">
        <v>14211192855</v>
      </c>
    </row>
    <row r="122" spans="1:12" ht="92.25" customHeight="1" x14ac:dyDescent="0.2">
      <c r="A122" s="368" t="s">
        <v>1</v>
      </c>
      <c r="B122" s="369" t="s">
        <v>179</v>
      </c>
      <c r="C122" s="369" t="s">
        <v>49</v>
      </c>
      <c r="D122" s="369"/>
      <c r="E122" s="369"/>
      <c r="F122" s="369"/>
      <c r="G122" s="369"/>
      <c r="H122" s="369"/>
      <c r="I122" s="369"/>
      <c r="J122" s="423" t="s">
        <v>357</v>
      </c>
      <c r="K122" s="428">
        <v>0</v>
      </c>
      <c r="L122" s="428">
        <v>33479670847</v>
      </c>
    </row>
    <row r="123" spans="1:12" ht="3.95" customHeight="1" x14ac:dyDescent="0.2">
      <c r="A123" s="292"/>
      <c r="B123" s="293"/>
      <c r="C123" s="293"/>
      <c r="D123" s="293"/>
      <c r="E123" s="293"/>
      <c r="F123" s="293"/>
      <c r="G123" s="293"/>
      <c r="H123" s="293"/>
      <c r="I123" s="293"/>
      <c r="J123" s="422"/>
      <c r="K123" s="295"/>
      <c r="L123" s="295"/>
    </row>
    <row r="124" spans="1:12" ht="31.5" customHeight="1" x14ac:dyDescent="0.2">
      <c r="A124" s="281" t="s">
        <v>1</v>
      </c>
      <c r="B124" s="282" t="s">
        <v>66</v>
      </c>
      <c r="C124" s="282" t="s">
        <v>33</v>
      </c>
      <c r="D124" s="282" t="s">
        <v>33</v>
      </c>
      <c r="E124" s="282"/>
      <c r="F124" s="282"/>
      <c r="G124" s="282"/>
      <c r="H124" s="282"/>
      <c r="I124" s="282"/>
      <c r="J124" s="421" t="s">
        <v>223</v>
      </c>
      <c r="K124" s="429">
        <f>+K125</f>
        <v>141833662545</v>
      </c>
      <c r="L124" s="429">
        <f>+L125</f>
        <v>113766874065</v>
      </c>
    </row>
    <row r="125" spans="1:12" ht="24.75" customHeight="1" x14ac:dyDescent="0.2">
      <c r="A125" s="281" t="s">
        <v>1</v>
      </c>
      <c r="B125" s="282" t="s">
        <v>66</v>
      </c>
      <c r="C125" s="282" t="s">
        <v>49</v>
      </c>
      <c r="D125" s="282"/>
      <c r="E125" s="282"/>
      <c r="F125" s="282"/>
      <c r="G125" s="282"/>
      <c r="H125" s="282"/>
      <c r="I125" s="282"/>
      <c r="J125" s="421" t="s">
        <v>180</v>
      </c>
      <c r="K125" s="427">
        <f>+K126+K127+K128+K129+K130+K131+K132+K133+K134+K135</f>
        <v>141833662545</v>
      </c>
      <c r="L125" s="427">
        <f>+L126+L127+L128+L129+L130+L131+L132+L133+L134+L135</f>
        <v>113766874065</v>
      </c>
    </row>
    <row r="126" spans="1:12" ht="48" customHeight="1" x14ac:dyDescent="0.2">
      <c r="A126" s="368" t="s">
        <v>1</v>
      </c>
      <c r="B126" s="369" t="s">
        <v>66</v>
      </c>
      <c r="C126" s="369" t="s">
        <v>49</v>
      </c>
      <c r="D126" s="369"/>
      <c r="E126" s="369"/>
      <c r="F126" s="369"/>
      <c r="G126" s="369"/>
      <c r="H126" s="369"/>
      <c r="I126" s="369"/>
      <c r="J126" s="370" t="s">
        <v>327</v>
      </c>
      <c r="K126" s="428">
        <v>2729873343</v>
      </c>
      <c r="L126" s="428">
        <v>0</v>
      </c>
    </row>
    <row r="127" spans="1:12" ht="56.25" customHeight="1" x14ac:dyDescent="0.2">
      <c r="A127" s="368" t="s">
        <v>1</v>
      </c>
      <c r="B127" s="369" t="s">
        <v>66</v>
      </c>
      <c r="C127" s="369" t="s">
        <v>49</v>
      </c>
      <c r="D127" s="369"/>
      <c r="E127" s="369"/>
      <c r="F127" s="369"/>
      <c r="G127" s="369"/>
      <c r="H127" s="369"/>
      <c r="I127" s="369"/>
      <c r="J127" s="370" t="s">
        <v>328</v>
      </c>
      <c r="K127" s="428">
        <v>2705480627</v>
      </c>
      <c r="L127" s="428">
        <v>1500000000</v>
      </c>
    </row>
    <row r="128" spans="1:12" ht="59.25" customHeight="1" x14ac:dyDescent="0.2">
      <c r="A128" s="368" t="s">
        <v>1</v>
      </c>
      <c r="B128" s="369" t="s">
        <v>66</v>
      </c>
      <c r="C128" s="369" t="s">
        <v>49</v>
      </c>
      <c r="D128" s="369"/>
      <c r="E128" s="369"/>
      <c r="F128" s="369"/>
      <c r="G128" s="369"/>
      <c r="H128" s="369"/>
      <c r="I128" s="369"/>
      <c r="J128" s="370" t="s">
        <v>329</v>
      </c>
      <c r="K128" s="428">
        <v>7557106890</v>
      </c>
      <c r="L128" s="470">
        <v>1000000000</v>
      </c>
    </row>
    <row r="129" spans="1:12" ht="84" customHeight="1" x14ac:dyDescent="0.2">
      <c r="A129" s="368" t="s">
        <v>1</v>
      </c>
      <c r="B129" s="369" t="s">
        <v>66</v>
      </c>
      <c r="C129" s="369" t="s">
        <v>49</v>
      </c>
      <c r="D129" s="369"/>
      <c r="E129" s="369"/>
      <c r="F129" s="369"/>
      <c r="G129" s="369"/>
      <c r="H129" s="369"/>
      <c r="I129" s="369"/>
      <c r="J129" s="370" t="s">
        <v>330</v>
      </c>
      <c r="K129" s="428">
        <v>2463318774</v>
      </c>
      <c r="L129" s="470">
        <v>2588948031</v>
      </c>
    </row>
    <row r="130" spans="1:12" ht="56.25" customHeight="1" x14ac:dyDescent="0.2">
      <c r="A130" s="368" t="s">
        <v>1</v>
      </c>
      <c r="B130" s="369" t="s">
        <v>66</v>
      </c>
      <c r="C130" s="369" t="s">
        <v>49</v>
      </c>
      <c r="D130" s="369"/>
      <c r="E130" s="369"/>
      <c r="F130" s="369"/>
      <c r="G130" s="369"/>
      <c r="H130" s="369"/>
      <c r="I130" s="369"/>
      <c r="J130" s="370" t="s">
        <v>290</v>
      </c>
      <c r="K130" s="428">
        <v>15074953812</v>
      </c>
      <c r="L130" s="428">
        <v>15074953812</v>
      </c>
    </row>
    <row r="131" spans="1:12" ht="56.25" customHeight="1" x14ac:dyDescent="0.2">
      <c r="A131" s="368" t="s">
        <v>1</v>
      </c>
      <c r="B131" s="369" t="s">
        <v>66</v>
      </c>
      <c r="C131" s="369" t="s">
        <v>49</v>
      </c>
      <c r="D131" s="369"/>
      <c r="E131" s="369"/>
      <c r="F131" s="369"/>
      <c r="G131" s="369"/>
      <c r="H131" s="369"/>
      <c r="I131" s="369"/>
      <c r="J131" s="370" t="s">
        <v>331</v>
      </c>
      <c r="K131" s="428">
        <v>2776747295</v>
      </c>
      <c r="L131" s="428">
        <v>2776747295</v>
      </c>
    </row>
    <row r="132" spans="1:12" ht="56.25" customHeight="1" x14ac:dyDescent="0.2">
      <c r="A132" s="368"/>
      <c r="B132" s="369"/>
      <c r="C132" s="369"/>
      <c r="D132" s="369"/>
      <c r="E132" s="369"/>
      <c r="F132" s="369"/>
      <c r="G132" s="369"/>
      <c r="H132" s="369"/>
      <c r="I132" s="369"/>
      <c r="J132" s="370" t="s">
        <v>333</v>
      </c>
      <c r="K132" s="428">
        <v>3000000000</v>
      </c>
      <c r="L132" s="428">
        <v>0</v>
      </c>
    </row>
    <row r="133" spans="1:12" ht="81" customHeight="1" x14ac:dyDescent="0.2">
      <c r="A133" s="368" t="s">
        <v>1</v>
      </c>
      <c r="B133" s="369" t="s">
        <v>66</v>
      </c>
      <c r="C133" s="369" t="s">
        <v>49</v>
      </c>
      <c r="D133" s="369"/>
      <c r="E133" s="369"/>
      <c r="F133" s="369"/>
      <c r="G133" s="369"/>
      <c r="H133" s="369"/>
      <c r="I133" s="369"/>
      <c r="J133" s="370" t="s">
        <v>332</v>
      </c>
      <c r="K133" s="428">
        <v>13850273350</v>
      </c>
      <c r="L133" s="428">
        <v>11390786538</v>
      </c>
    </row>
    <row r="134" spans="1:12" ht="44.25" customHeight="1" x14ac:dyDescent="0.2">
      <c r="A134" s="368" t="s">
        <v>1</v>
      </c>
      <c r="B134" s="369" t="s">
        <v>66</v>
      </c>
      <c r="C134" s="369" t="s">
        <v>49</v>
      </c>
      <c r="D134" s="369"/>
      <c r="E134" s="369"/>
      <c r="F134" s="369"/>
      <c r="G134" s="369"/>
      <c r="H134" s="369"/>
      <c r="I134" s="369"/>
      <c r="J134" s="423" t="s">
        <v>230</v>
      </c>
      <c r="K134" s="428">
        <v>29311405164</v>
      </c>
      <c r="L134" s="428">
        <v>15200000000</v>
      </c>
    </row>
    <row r="135" spans="1:12" ht="44.25" customHeight="1" x14ac:dyDescent="0.2">
      <c r="A135" s="368"/>
      <c r="B135" s="369"/>
      <c r="C135" s="369"/>
      <c r="D135" s="369"/>
      <c r="E135" s="369"/>
      <c r="F135" s="369"/>
      <c r="G135" s="369"/>
      <c r="H135" s="369"/>
      <c r="I135" s="369"/>
      <c r="J135" s="370" t="s">
        <v>334</v>
      </c>
      <c r="K135" s="428">
        <v>62364503290</v>
      </c>
      <c r="L135" s="428">
        <v>64235438389</v>
      </c>
    </row>
    <row r="136" spans="1:12" ht="30.75" customHeight="1" x14ac:dyDescent="0.2">
      <c r="A136" s="653" t="s">
        <v>291</v>
      </c>
      <c r="B136" s="654"/>
      <c r="C136" s="654"/>
      <c r="D136" s="654"/>
      <c r="E136" s="654"/>
      <c r="F136" s="654"/>
      <c r="G136" s="654"/>
      <c r="H136" s="654"/>
      <c r="I136" s="654"/>
      <c r="J136" s="655"/>
      <c r="K136" s="430">
        <f>+K114+K118+K124</f>
        <v>164063830267</v>
      </c>
      <c r="L136" s="430">
        <f>+L114+L118+L124</f>
        <v>168551762427</v>
      </c>
    </row>
    <row r="139" spans="1:12" ht="31.5" x14ac:dyDescent="0.2">
      <c r="A139" s="657" t="s">
        <v>293</v>
      </c>
      <c r="B139" s="657"/>
      <c r="C139" s="657"/>
      <c r="D139" s="657"/>
      <c r="E139" s="657"/>
      <c r="F139" s="657"/>
      <c r="G139" s="657"/>
      <c r="H139" s="657"/>
      <c r="I139" s="657"/>
      <c r="J139" s="657"/>
      <c r="K139" s="657"/>
      <c r="L139" s="466" t="s">
        <v>358</v>
      </c>
    </row>
    <row r="141" spans="1:12" ht="42.75" customHeight="1" x14ac:dyDescent="0.2">
      <c r="A141" s="281" t="s">
        <v>1</v>
      </c>
      <c r="B141" s="282" t="s">
        <v>179</v>
      </c>
      <c r="C141" s="282" t="s">
        <v>33</v>
      </c>
      <c r="D141" s="282" t="s">
        <v>33</v>
      </c>
      <c r="E141" s="282"/>
      <c r="F141" s="282"/>
      <c r="G141" s="282"/>
      <c r="H141" s="282"/>
      <c r="I141" s="282"/>
      <c r="J141" s="421" t="s">
        <v>219</v>
      </c>
      <c r="K141" s="429">
        <f>+K142</f>
        <v>7654626542</v>
      </c>
      <c r="L141" s="429">
        <f>+L142</f>
        <v>2587951413</v>
      </c>
    </row>
    <row r="142" spans="1:12" ht="23.25" customHeight="1" x14ac:dyDescent="0.2">
      <c r="A142" s="281" t="s">
        <v>1</v>
      </c>
      <c r="B142" s="282" t="s">
        <v>179</v>
      </c>
      <c r="C142" s="282" t="s">
        <v>49</v>
      </c>
      <c r="D142" s="282"/>
      <c r="E142" s="282"/>
      <c r="F142" s="282"/>
      <c r="G142" s="282"/>
      <c r="H142" s="282"/>
      <c r="I142" s="282"/>
      <c r="J142" s="421" t="s">
        <v>180</v>
      </c>
      <c r="K142" s="427">
        <f>+K143</f>
        <v>7654626542</v>
      </c>
      <c r="L142" s="427">
        <f>+L143</f>
        <v>2587951413</v>
      </c>
    </row>
    <row r="143" spans="1:12" ht="69.75" customHeight="1" x14ac:dyDescent="0.2">
      <c r="A143" s="368" t="s">
        <v>1</v>
      </c>
      <c r="B143" s="369" t="s">
        <v>179</v>
      </c>
      <c r="C143" s="369" t="s">
        <v>49</v>
      </c>
      <c r="D143" s="369"/>
      <c r="E143" s="369"/>
      <c r="F143" s="369"/>
      <c r="G143" s="369"/>
      <c r="H143" s="369"/>
      <c r="I143" s="369"/>
      <c r="J143" s="287" t="s">
        <v>326</v>
      </c>
      <c r="K143" s="428">
        <v>7654626542</v>
      </c>
      <c r="L143" s="428">
        <v>2587951413</v>
      </c>
    </row>
    <row r="144" spans="1:12" ht="33" customHeight="1" x14ac:dyDescent="0.2">
      <c r="A144" s="653" t="s">
        <v>294</v>
      </c>
      <c r="B144" s="654"/>
      <c r="C144" s="654"/>
      <c r="D144" s="654"/>
      <c r="E144" s="654"/>
      <c r="F144" s="654"/>
      <c r="G144" s="654"/>
      <c r="H144" s="654"/>
      <c r="I144" s="654"/>
      <c r="J144" s="655"/>
      <c r="K144" s="430">
        <f>+K141</f>
        <v>7654626542</v>
      </c>
      <c r="L144" s="430">
        <f>+L141</f>
        <v>2587951413</v>
      </c>
    </row>
    <row r="145" spans="1:12" ht="19.899999999999999" customHeight="1" thickBot="1" x14ac:dyDescent="0.25">
      <c r="J145" s="202"/>
      <c r="K145" s="202"/>
      <c r="L145" s="202"/>
    </row>
    <row r="146" spans="1:12" ht="43.5" customHeight="1" thickBot="1" x14ac:dyDescent="0.25">
      <c r="A146" s="658" t="s">
        <v>343</v>
      </c>
      <c r="B146" s="659"/>
      <c r="C146" s="659"/>
      <c r="D146" s="659"/>
      <c r="E146" s="659"/>
      <c r="F146" s="659"/>
      <c r="G146" s="659"/>
      <c r="H146" s="659"/>
      <c r="I146" s="659"/>
      <c r="J146" s="659"/>
      <c r="K146" s="431">
        <f>+K136+K144</f>
        <v>171718456809</v>
      </c>
      <c r="L146" s="431">
        <f>+L136+L144</f>
        <v>171139713840</v>
      </c>
    </row>
    <row r="147" spans="1:12" ht="19.899999999999999" customHeight="1" x14ac:dyDescent="0.2">
      <c r="J147" s="202"/>
      <c r="K147" s="202"/>
      <c r="L147" s="202"/>
    </row>
    <row r="148" spans="1:12" ht="19.899999999999999" customHeight="1" x14ac:dyDescent="0.2">
      <c r="J148" s="202"/>
      <c r="K148" s="202"/>
      <c r="L148" s="202"/>
    </row>
    <row r="149" spans="1:12" ht="19.899999999999999" customHeight="1" x14ac:dyDescent="0.2">
      <c r="J149" s="202"/>
      <c r="K149" s="202"/>
      <c r="L149" s="202"/>
    </row>
    <row r="150" spans="1:12" ht="19.899999999999999" customHeight="1" x14ac:dyDescent="0.2">
      <c r="J150" s="202"/>
      <c r="K150" s="202"/>
      <c r="L150" s="202"/>
    </row>
    <row r="153" spans="1:12" x14ac:dyDescent="0.2">
      <c r="J153" s="315"/>
    </row>
    <row r="154" spans="1:12" x14ac:dyDescent="0.2">
      <c r="K154" s="308"/>
    </row>
  </sheetData>
  <mergeCells count="17">
    <mergeCell ref="A1:L1"/>
    <mergeCell ref="A2:L2"/>
    <mergeCell ref="A3:L3"/>
    <mergeCell ref="A95:J95"/>
    <mergeCell ref="A5:L5"/>
    <mergeCell ref="A4:L4"/>
    <mergeCell ref="A6:L6"/>
    <mergeCell ref="A8:J8"/>
    <mergeCell ref="A136:J136"/>
    <mergeCell ref="A139:K139"/>
    <mergeCell ref="A144:J144"/>
    <mergeCell ref="A146:J146"/>
    <mergeCell ref="E97:J97"/>
    <mergeCell ref="E98:J98"/>
    <mergeCell ref="A99:J99"/>
    <mergeCell ref="J101:L101"/>
    <mergeCell ref="A112:K112"/>
  </mergeCells>
  <printOptions horizontalCentered="1"/>
  <pageMargins left="0.11811023622047245" right="0.11811023622047245" top="0.15748031496062992" bottom="0.35433070866141736" header="0.31496062992125984" footer="0.31496062992125984"/>
  <pageSetup paperSize="14" scale="75" orientation="landscape"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FFFF"/>
  </sheetPr>
  <dimension ref="A1:O50"/>
  <sheetViews>
    <sheetView topLeftCell="E1" zoomScaleNormal="100" workbookViewId="0">
      <selection activeCell="L19" sqref="L19"/>
    </sheetView>
  </sheetViews>
  <sheetFormatPr baseColWidth="10" defaultColWidth="11.42578125" defaultRowHeight="14.25" x14ac:dyDescent="0.25"/>
  <cols>
    <col min="1" max="1" width="5.7109375" style="91" customWidth="1"/>
    <col min="2" max="2" width="9.140625" style="91" customWidth="1"/>
    <col min="3" max="3" width="10.140625" style="91" customWidth="1"/>
    <col min="4" max="5" width="5.7109375" style="91" customWidth="1"/>
    <col min="6" max="6" width="43.42578125" style="71" customWidth="1"/>
    <col min="7" max="7" width="21.7109375" style="71" bestFit="1" customWidth="1"/>
    <col min="8" max="8" width="20.7109375" style="71" customWidth="1"/>
    <col min="9" max="9" width="22" style="73" customWidth="1"/>
    <col min="10" max="10" width="25.140625" style="73" customWidth="1"/>
    <col min="11" max="11" width="13.7109375" style="71" bestFit="1" customWidth="1"/>
    <col min="12" max="12" width="20.28515625" style="71" bestFit="1" customWidth="1"/>
    <col min="13" max="13" width="17.140625" style="71" bestFit="1" customWidth="1"/>
    <col min="14" max="14" width="11.42578125" style="71"/>
    <col min="15" max="15" width="16.7109375" style="71" bestFit="1" customWidth="1"/>
    <col min="16" max="16384" width="11.42578125" style="71"/>
  </cols>
  <sheetData>
    <row r="1" spans="1:13" ht="15.75" x14ac:dyDescent="0.25">
      <c r="A1" s="665" t="s">
        <v>70</v>
      </c>
      <c r="B1" s="665"/>
      <c r="C1" s="665"/>
      <c r="D1" s="665"/>
      <c r="E1" s="665"/>
      <c r="F1" s="665"/>
      <c r="G1" s="665"/>
      <c r="H1" s="665"/>
      <c r="I1" s="665"/>
      <c r="J1" s="665"/>
    </row>
    <row r="2" spans="1:13" ht="15.75" x14ac:dyDescent="0.25">
      <c r="A2" s="665" t="s">
        <v>71</v>
      </c>
      <c r="B2" s="665"/>
      <c r="C2" s="665"/>
      <c r="D2" s="665"/>
      <c r="E2" s="665"/>
      <c r="F2" s="665"/>
      <c r="G2" s="665"/>
      <c r="H2" s="665"/>
      <c r="I2" s="665"/>
      <c r="J2" s="665"/>
    </row>
    <row r="3" spans="1:13" ht="15.75" x14ac:dyDescent="0.25">
      <c r="A3" s="665" t="s">
        <v>108</v>
      </c>
      <c r="B3" s="665"/>
      <c r="C3" s="665"/>
      <c r="D3" s="665"/>
      <c r="E3" s="665"/>
      <c r="F3" s="665"/>
      <c r="G3" s="665"/>
      <c r="H3" s="665"/>
      <c r="I3" s="665"/>
      <c r="J3" s="665"/>
    </row>
    <row r="4" spans="1:13" ht="9" customHeight="1" x14ac:dyDescent="0.25">
      <c r="A4" s="72"/>
      <c r="B4" s="72"/>
      <c r="C4" s="72"/>
      <c r="D4" s="72"/>
      <c r="E4" s="72"/>
      <c r="F4" s="72"/>
      <c r="G4" s="72"/>
      <c r="H4" s="72"/>
      <c r="I4" s="72"/>
    </row>
    <row r="5" spans="1:13" ht="15" customHeight="1" x14ac:dyDescent="0.25">
      <c r="A5" s="675" t="s">
        <v>109</v>
      </c>
      <c r="B5" s="675"/>
      <c r="C5" s="675"/>
      <c r="D5" s="675"/>
      <c r="E5" s="675"/>
      <c r="F5" s="675"/>
      <c r="G5" s="675"/>
      <c r="H5" s="675"/>
      <c r="I5" s="675"/>
    </row>
    <row r="6" spans="1:13" ht="30.75" customHeight="1" x14ac:dyDescent="0.25">
      <c r="A6" s="675" t="s">
        <v>295</v>
      </c>
      <c r="B6" s="675"/>
      <c r="C6" s="675"/>
      <c r="D6" s="675"/>
      <c r="E6" s="675"/>
      <c r="F6" s="675"/>
      <c r="G6" s="675"/>
      <c r="H6" s="675"/>
      <c r="I6" s="675"/>
    </row>
    <row r="7" spans="1:13" ht="19.5" customHeight="1" x14ac:dyDescent="0.25">
      <c r="A7" s="675" t="s">
        <v>110</v>
      </c>
      <c r="B7" s="675"/>
      <c r="C7" s="675"/>
      <c r="D7" s="675"/>
      <c r="E7" s="675"/>
      <c r="F7" s="675"/>
      <c r="G7" s="675"/>
      <c r="H7" s="675"/>
      <c r="I7" s="675"/>
    </row>
    <row r="8" spans="1:13" ht="28.5" customHeight="1" x14ac:dyDescent="0.25">
      <c r="A8" s="675" t="s">
        <v>354</v>
      </c>
      <c r="B8" s="675"/>
      <c r="C8" s="675"/>
      <c r="D8" s="675"/>
      <c r="E8" s="675"/>
      <c r="F8" s="675"/>
      <c r="G8" s="675"/>
      <c r="H8" s="675"/>
      <c r="I8" s="675"/>
    </row>
    <row r="9" spans="1:13" ht="6" customHeight="1" thickBot="1" x14ac:dyDescent="0.3">
      <c r="A9" s="72"/>
      <c r="B9" s="72"/>
      <c r="C9" s="72"/>
      <c r="D9" s="72"/>
      <c r="E9" s="72"/>
      <c r="F9" s="72"/>
      <c r="G9" s="72"/>
      <c r="H9" s="72"/>
      <c r="I9" s="72"/>
    </row>
    <row r="10" spans="1:13" ht="39.75" customHeight="1" x14ac:dyDescent="0.25">
      <c r="A10" s="676" t="s">
        <v>111</v>
      </c>
      <c r="B10" s="677"/>
      <c r="C10" s="677"/>
      <c r="D10" s="677"/>
      <c r="E10" s="555"/>
      <c r="F10" s="678" t="s">
        <v>112</v>
      </c>
      <c r="G10" s="678" t="s">
        <v>316</v>
      </c>
      <c r="H10" s="678"/>
      <c r="I10" s="679" t="s">
        <v>315</v>
      </c>
      <c r="J10" s="680"/>
    </row>
    <row r="11" spans="1:13" ht="36" customHeight="1" x14ac:dyDescent="0.25">
      <c r="A11" s="556" t="s">
        <v>113</v>
      </c>
      <c r="B11" s="557" t="s">
        <v>114</v>
      </c>
      <c r="C11" s="557" t="s">
        <v>115</v>
      </c>
      <c r="D11" s="557" t="s">
        <v>116</v>
      </c>
      <c r="E11" s="557"/>
      <c r="F11" s="661"/>
      <c r="G11" s="558" t="s">
        <v>117</v>
      </c>
      <c r="H11" s="558" t="s">
        <v>118</v>
      </c>
      <c r="I11" s="558" t="s">
        <v>117</v>
      </c>
      <c r="J11" s="559" t="s">
        <v>118</v>
      </c>
    </row>
    <row r="12" spans="1:13" ht="20.100000000000001" customHeight="1" x14ac:dyDescent="0.25">
      <c r="A12" s="560" t="s">
        <v>73</v>
      </c>
      <c r="B12" s="561"/>
      <c r="C12" s="561"/>
      <c r="D12" s="561"/>
      <c r="E12" s="561"/>
      <c r="F12" s="382" t="s">
        <v>119</v>
      </c>
      <c r="G12" s="562">
        <f>+G13</f>
        <v>181795211141</v>
      </c>
      <c r="H12" s="562">
        <f>+H13</f>
        <v>181795211141</v>
      </c>
      <c r="I12" s="562">
        <f>+I13</f>
        <v>184254367181</v>
      </c>
      <c r="J12" s="563">
        <f>+J13</f>
        <v>184254367181</v>
      </c>
      <c r="M12" s="76"/>
    </row>
    <row r="13" spans="1:13" ht="25.5" customHeight="1" x14ac:dyDescent="0.25">
      <c r="A13" s="564" t="s">
        <v>7</v>
      </c>
      <c r="B13" s="565" t="s">
        <v>17</v>
      </c>
      <c r="C13" s="566"/>
      <c r="D13" s="566"/>
      <c r="E13" s="566"/>
      <c r="F13" s="403" t="s">
        <v>120</v>
      </c>
      <c r="G13" s="567">
        <f>+G14+G15+G16</f>
        <v>181795211141</v>
      </c>
      <c r="H13" s="567">
        <f>+H14+H15+H16</f>
        <v>181795211141</v>
      </c>
      <c r="I13" s="567">
        <f>+I14+I15+I16</f>
        <v>184254367181</v>
      </c>
      <c r="J13" s="568">
        <f>+J14+J15+J16</f>
        <v>184254367181</v>
      </c>
    </row>
    <row r="14" spans="1:13" ht="20.100000000000001" customHeight="1" x14ac:dyDescent="0.25">
      <c r="A14" s="78" t="s">
        <v>7</v>
      </c>
      <c r="B14" s="79" t="s">
        <v>17</v>
      </c>
      <c r="C14" s="79" t="s">
        <v>50</v>
      </c>
      <c r="D14" s="80"/>
      <c r="E14" s="80"/>
      <c r="F14" s="81" t="s">
        <v>121</v>
      </c>
      <c r="G14" s="175">
        <v>160000000000</v>
      </c>
      <c r="H14" s="180">
        <f t="shared" ref="H14:H20" si="0">+G14</f>
        <v>160000000000</v>
      </c>
      <c r="I14" s="180">
        <f>+'FORMULARIO 1.1 A INGRESOS'!AI46</f>
        <v>182378140736</v>
      </c>
      <c r="J14" s="181">
        <f t="shared" ref="J14:J20" si="1">+I14</f>
        <v>182378140736</v>
      </c>
    </row>
    <row r="15" spans="1:13" ht="20.100000000000001" customHeight="1" x14ac:dyDescent="0.25">
      <c r="A15" s="78" t="s">
        <v>7</v>
      </c>
      <c r="B15" s="79" t="s">
        <v>17</v>
      </c>
      <c r="C15" s="79" t="s">
        <v>58</v>
      </c>
      <c r="D15" s="80"/>
      <c r="E15" s="80"/>
      <c r="F15" s="81" t="s">
        <v>122</v>
      </c>
      <c r="G15" s="175">
        <v>1285592694</v>
      </c>
      <c r="H15" s="180">
        <f t="shared" si="0"/>
        <v>1285592694</v>
      </c>
      <c r="I15" s="181">
        <f>+'FORMULARIO 1.1 A INGRESOS'!AI52</f>
        <v>1324160475</v>
      </c>
      <c r="J15" s="181">
        <f t="shared" si="1"/>
        <v>1324160475</v>
      </c>
    </row>
    <row r="16" spans="1:13" ht="20.100000000000001" customHeight="1" x14ac:dyDescent="0.25">
      <c r="A16" s="78" t="s">
        <v>7</v>
      </c>
      <c r="B16" s="79" t="s">
        <v>17</v>
      </c>
      <c r="C16" s="79" t="s">
        <v>65</v>
      </c>
      <c r="D16" s="80"/>
      <c r="E16" s="80"/>
      <c r="F16" s="81" t="s">
        <v>137</v>
      </c>
      <c r="G16" s="175">
        <f>+G17+G18+G19+G20+G23</f>
        <v>20509618447</v>
      </c>
      <c r="H16" s="180">
        <f t="shared" si="0"/>
        <v>20509618447</v>
      </c>
      <c r="I16" s="192">
        <f>+'FORMULARIO 1.1 A INGRESOS'!AI60</f>
        <v>552065970</v>
      </c>
      <c r="J16" s="181">
        <f t="shared" si="1"/>
        <v>552065970</v>
      </c>
      <c r="L16" s="86"/>
    </row>
    <row r="17" spans="1:13" ht="20.100000000000001" customHeight="1" x14ac:dyDescent="0.25">
      <c r="A17" s="82" t="s">
        <v>7</v>
      </c>
      <c r="B17" s="83" t="s">
        <v>17</v>
      </c>
      <c r="C17" s="83" t="s">
        <v>65</v>
      </c>
      <c r="D17" s="84" t="s">
        <v>17</v>
      </c>
      <c r="E17" s="84" t="s">
        <v>18</v>
      </c>
      <c r="F17" s="85" t="s">
        <v>138</v>
      </c>
      <c r="G17" s="182">
        <v>21572851</v>
      </c>
      <c r="H17" s="182">
        <f t="shared" si="0"/>
        <v>21572851</v>
      </c>
      <c r="I17" s="267">
        <f>+'FORMULARIO 1.1 A INGRESOS'!AI55</f>
        <v>22220037</v>
      </c>
      <c r="J17" s="184">
        <f t="shared" si="1"/>
        <v>22220037</v>
      </c>
    </row>
    <row r="18" spans="1:13" ht="48" customHeight="1" x14ac:dyDescent="0.25">
      <c r="A18" s="82" t="s">
        <v>7</v>
      </c>
      <c r="B18" s="83" t="s">
        <v>17</v>
      </c>
      <c r="C18" s="83" t="s">
        <v>65</v>
      </c>
      <c r="D18" s="84" t="s">
        <v>17</v>
      </c>
      <c r="E18" s="84" t="s">
        <v>43</v>
      </c>
      <c r="F18" s="85" t="s">
        <v>139</v>
      </c>
      <c r="G18" s="182">
        <v>60157176</v>
      </c>
      <c r="H18" s="182">
        <f t="shared" si="0"/>
        <v>60157176</v>
      </c>
      <c r="I18" s="267">
        <f>+'FORMULARIO 1.1 A INGRESOS'!AI56</f>
        <v>63285351</v>
      </c>
      <c r="J18" s="184">
        <f t="shared" si="1"/>
        <v>63285351</v>
      </c>
    </row>
    <row r="19" spans="1:13" ht="50.25" customHeight="1" x14ac:dyDescent="0.25">
      <c r="A19" s="82" t="s">
        <v>7</v>
      </c>
      <c r="B19" s="83" t="s">
        <v>17</v>
      </c>
      <c r="C19" s="83" t="s">
        <v>65</v>
      </c>
      <c r="D19" s="84" t="s">
        <v>17</v>
      </c>
      <c r="E19" s="84" t="s">
        <v>43</v>
      </c>
      <c r="F19" s="85" t="s">
        <v>140</v>
      </c>
      <c r="G19" s="182">
        <v>22860020</v>
      </c>
      <c r="H19" s="182">
        <f t="shared" si="0"/>
        <v>22860020</v>
      </c>
      <c r="I19" s="267">
        <f>+'FORMULARIO 1.1 A INGRESOS'!AI57</f>
        <v>36073112</v>
      </c>
      <c r="J19" s="184">
        <f t="shared" si="1"/>
        <v>36073112</v>
      </c>
    </row>
    <row r="20" spans="1:13" ht="37.5" customHeight="1" x14ac:dyDescent="0.25">
      <c r="A20" s="82" t="s">
        <v>7</v>
      </c>
      <c r="B20" s="83" t="s">
        <v>17</v>
      </c>
      <c r="C20" s="83" t="s">
        <v>65</v>
      </c>
      <c r="D20" s="84" t="s">
        <v>17</v>
      </c>
      <c r="E20" s="84" t="s">
        <v>43</v>
      </c>
      <c r="F20" s="85" t="s">
        <v>141</v>
      </c>
      <c r="G20" s="182">
        <v>405028400</v>
      </c>
      <c r="H20" s="182">
        <f t="shared" si="0"/>
        <v>405028400</v>
      </c>
      <c r="I20" s="267">
        <f>+'FORMULARIO 1.1 A INGRESOS'!AI58</f>
        <v>430487470</v>
      </c>
      <c r="J20" s="184">
        <f t="shared" si="1"/>
        <v>430487470</v>
      </c>
    </row>
    <row r="21" spans="1:13" ht="6.75" customHeight="1" x14ac:dyDescent="0.25">
      <c r="A21" s="82"/>
      <c r="B21" s="83"/>
      <c r="C21" s="83"/>
      <c r="D21" s="84"/>
      <c r="E21" s="84"/>
      <c r="F21" s="85"/>
      <c r="G21" s="182"/>
      <c r="H21" s="182"/>
      <c r="I21" s="267"/>
      <c r="J21" s="184"/>
    </row>
    <row r="22" spans="1:13" ht="37.5" customHeight="1" x14ac:dyDescent="0.25">
      <c r="A22" s="560"/>
      <c r="B22" s="569"/>
      <c r="C22" s="569"/>
      <c r="D22" s="561"/>
      <c r="E22" s="561"/>
      <c r="F22" s="570" t="s">
        <v>34</v>
      </c>
      <c r="G22" s="571">
        <f>+G23</f>
        <v>20000000000</v>
      </c>
      <c r="H22" s="571">
        <f>+G22</f>
        <v>20000000000</v>
      </c>
      <c r="I22" s="572"/>
      <c r="J22" s="573"/>
    </row>
    <row r="23" spans="1:13" ht="37.5" customHeight="1" x14ac:dyDescent="0.25">
      <c r="A23" s="82"/>
      <c r="B23" s="83"/>
      <c r="C23" s="83"/>
      <c r="D23" s="84"/>
      <c r="E23" s="84"/>
      <c r="F23" s="85" t="s">
        <v>317</v>
      </c>
      <c r="G23" s="182">
        <v>20000000000</v>
      </c>
      <c r="H23" s="182">
        <f>+G23</f>
        <v>20000000000</v>
      </c>
      <c r="I23" s="267"/>
      <c r="J23" s="184"/>
    </row>
    <row r="24" spans="1:13" ht="26.25" customHeight="1" x14ac:dyDescent="0.25">
      <c r="A24" s="560" t="s">
        <v>50</v>
      </c>
      <c r="B24" s="561"/>
      <c r="C24" s="561"/>
      <c r="D24" s="561"/>
      <c r="E24" s="561"/>
      <c r="F24" s="570" t="s">
        <v>123</v>
      </c>
      <c r="G24" s="574">
        <f>+G25+G27+G28+G29+G30+G32</f>
        <v>74769203604</v>
      </c>
      <c r="H24" s="562">
        <f>+H25+H30+H32</f>
        <v>74769203604</v>
      </c>
      <c r="I24" s="563">
        <f>+I25+I30+I32</f>
        <v>59109424097</v>
      </c>
      <c r="J24" s="563">
        <f>+J25+J30+J32</f>
        <v>59109424097</v>
      </c>
      <c r="L24" s="86"/>
    </row>
    <row r="25" spans="1:13" ht="20.100000000000001" customHeight="1" x14ac:dyDescent="0.25">
      <c r="A25" s="74" t="s">
        <v>17</v>
      </c>
      <c r="B25" s="77" t="s">
        <v>17</v>
      </c>
      <c r="C25" s="77"/>
      <c r="D25" s="75"/>
      <c r="E25" s="75"/>
      <c r="F25" s="81" t="s">
        <v>124</v>
      </c>
      <c r="G25" s="180">
        <f>+G26</f>
        <v>74708730144</v>
      </c>
      <c r="H25" s="180">
        <f>+H26</f>
        <v>74708730144</v>
      </c>
      <c r="I25" s="180">
        <f>+I26</f>
        <v>59047136433</v>
      </c>
      <c r="J25" s="181">
        <f>+J26</f>
        <v>59047136433</v>
      </c>
      <c r="K25" s="86"/>
      <c r="L25" s="86"/>
    </row>
    <row r="26" spans="1:13" ht="20.100000000000001" customHeight="1" x14ac:dyDescent="0.25">
      <c r="A26" s="87" t="s">
        <v>17</v>
      </c>
      <c r="B26" s="75" t="s">
        <v>17</v>
      </c>
      <c r="C26" s="75" t="s">
        <v>73</v>
      </c>
      <c r="D26" s="75"/>
      <c r="E26" s="75"/>
      <c r="F26" s="88" t="s">
        <v>125</v>
      </c>
      <c r="G26" s="467">
        <v>74708730144</v>
      </c>
      <c r="H26" s="183">
        <f>+G26</f>
        <v>74708730144</v>
      </c>
      <c r="I26" s="182">
        <v>59047136433</v>
      </c>
      <c r="J26" s="184">
        <f>+I26</f>
        <v>59047136433</v>
      </c>
    </row>
    <row r="27" spans="1:13" ht="20.100000000000001" hidden="1" customHeight="1" x14ac:dyDescent="0.25">
      <c r="A27" s="87"/>
      <c r="B27" s="75"/>
      <c r="C27" s="75"/>
      <c r="D27" s="75"/>
      <c r="E27" s="75"/>
      <c r="F27" s="88" t="s">
        <v>346</v>
      </c>
      <c r="G27" s="467"/>
      <c r="H27" s="183"/>
      <c r="I27" s="182"/>
      <c r="J27" s="184"/>
    </row>
    <row r="28" spans="1:13" ht="20.100000000000001" hidden="1" customHeight="1" x14ac:dyDescent="0.25">
      <c r="A28" s="87"/>
      <c r="B28" s="75"/>
      <c r="C28" s="75"/>
      <c r="D28" s="75"/>
      <c r="E28" s="75"/>
      <c r="F28" s="88" t="s">
        <v>347</v>
      </c>
      <c r="G28" s="467"/>
      <c r="H28" s="183"/>
      <c r="I28" s="182"/>
      <c r="J28" s="184"/>
    </row>
    <row r="29" spans="1:13" ht="20.100000000000001" hidden="1" customHeight="1" x14ac:dyDescent="0.25">
      <c r="A29" s="87"/>
      <c r="B29" s="75"/>
      <c r="C29" s="75"/>
      <c r="D29" s="75"/>
      <c r="E29" s="75"/>
      <c r="F29" s="88" t="s">
        <v>348</v>
      </c>
      <c r="G29" s="467"/>
      <c r="H29" s="183"/>
      <c r="I29" s="182"/>
      <c r="J29" s="184"/>
    </row>
    <row r="30" spans="1:13" ht="20.100000000000001" customHeight="1" x14ac:dyDescent="0.25">
      <c r="A30" s="74" t="s">
        <v>17</v>
      </c>
      <c r="B30" s="77" t="s">
        <v>126</v>
      </c>
      <c r="C30" s="75"/>
      <c r="D30" s="75"/>
      <c r="E30" s="75"/>
      <c r="F30" s="85" t="s">
        <v>127</v>
      </c>
      <c r="G30" s="468">
        <f>+G31</f>
        <v>45355095</v>
      </c>
      <c r="H30" s="175">
        <f>+H31</f>
        <v>45355095</v>
      </c>
      <c r="I30" s="175">
        <f>+I31</f>
        <v>46715748</v>
      </c>
      <c r="J30" s="176">
        <f>+J31</f>
        <v>46715748</v>
      </c>
      <c r="M30" s="86"/>
    </row>
    <row r="31" spans="1:13" ht="20.100000000000001" customHeight="1" x14ac:dyDescent="0.25">
      <c r="A31" s="89" t="s">
        <v>17</v>
      </c>
      <c r="B31" s="84" t="s">
        <v>126</v>
      </c>
      <c r="C31" s="84" t="s">
        <v>73</v>
      </c>
      <c r="D31" s="84"/>
      <c r="E31" s="84"/>
      <c r="F31" s="90" t="s">
        <v>128</v>
      </c>
      <c r="G31" s="469">
        <v>45355095</v>
      </c>
      <c r="H31" s="182">
        <f>+G31</f>
        <v>45355095</v>
      </c>
      <c r="I31" s="182">
        <f>+ROUND((G31*1.03),0)</f>
        <v>46715748</v>
      </c>
      <c r="J31" s="184">
        <f>+I31</f>
        <v>46715748</v>
      </c>
      <c r="M31" s="73"/>
    </row>
    <row r="32" spans="1:13" ht="34.5" customHeight="1" x14ac:dyDescent="0.25">
      <c r="A32" s="185" t="s">
        <v>17</v>
      </c>
      <c r="B32" s="186" t="s">
        <v>43</v>
      </c>
      <c r="C32" s="186" t="s">
        <v>50</v>
      </c>
      <c r="D32" s="186"/>
      <c r="E32" s="186"/>
      <c r="F32" s="187" t="s">
        <v>345</v>
      </c>
      <c r="G32" s="188">
        <v>15118365</v>
      </c>
      <c r="H32" s="188">
        <f>+G32</f>
        <v>15118365</v>
      </c>
      <c r="I32" s="188">
        <f>+ROUND((G32*1.03),0)</f>
        <v>15571916</v>
      </c>
      <c r="J32" s="189">
        <f>+I32</f>
        <v>15571916</v>
      </c>
    </row>
    <row r="33" spans="1:15" ht="33.75" customHeight="1" thickBot="1" x14ac:dyDescent="0.3">
      <c r="A33" s="681" t="s">
        <v>129</v>
      </c>
      <c r="B33" s="682"/>
      <c r="C33" s="682"/>
      <c r="D33" s="682"/>
      <c r="E33" s="682"/>
      <c r="F33" s="682"/>
      <c r="G33" s="575">
        <f>+G12+G24</f>
        <v>256564414745</v>
      </c>
      <c r="H33" s="575">
        <f>+H12+H24</f>
        <v>256564414745</v>
      </c>
      <c r="I33" s="575">
        <f>+I12+I24</f>
        <v>243363791278</v>
      </c>
      <c r="J33" s="576">
        <f>+J12+J24</f>
        <v>243363791278</v>
      </c>
      <c r="L33" s="508">
        <v>243363791278</v>
      </c>
      <c r="M33" s="73"/>
    </row>
    <row r="34" spans="1:15" s="504" customFormat="1" ht="27.75" customHeight="1" x14ac:dyDescent="0.25">
      <c r="A34" s="502"/>
      <c r="B34" s="502"/>
      <c r="C34" s="502"/>
      <c r="D34" s="502"/>
      <c r="E34" s="502"/>
      <c r="F34" s="502"/>
      <c r="G34" s="503"/>
      <c r="H34" s="503"/>
      <c r="I34" s="506">
        <f>+I33*'Apropiación presupuestal 2025'!L162</f>
        <v>0</v>
      </c>
      <c r="J34" s="507">
        <f>+'FORMULARIO 2 GASTOS'!L95</f>
        <v>74661701358</v>
      </c>
      <c r="L34" s="508"/>
      <c r="M34" s="505"/>
    </row>
    <row r="35" spans="1:15" ht="3" customHeight="1" x14ac:dyDescent="0.25">
      <c r="G35" s="92"/>
      <c r="H35" s="92"/>
      <c r="I35" s="93"/>
      <c r="J35" s="510">
        <f>+J33-J34</f>
        <v>168702089920</v>
      </c>
      <c r="K35" s="511">
        <v>171718456809</v>
      </c>
      <c r="L35" s="509">
        <f>+K35-J35</f>
        <v>3016366889</v>
      </c>
    </row>
    <row r="36" spans="1:15" ht="20.25" customHeight="1" thickBot="1" x14ac:dyDescent="0.3">
      <c r="F36" s="30" t="s">
        <v>130</v>
      </c>
      <c r="G36" s="92"/>
      <c r="H36" s="92"/>
      <c r="I36" s="93"/>
      <c r="J36" s="93"/>
    </row>
    <row r="37" spans="1:15" ht="40.5" customHeight="1" x14ac:dyDescent="0.25">
      <c r="F37" s="670" t="s">
        <v>112</v>
      </c>
      <c r="G37" s="672" t="s">
        <v>321</v>
      </c>
      <c r="H37" s="672"/>
      <c r="I37" s="673" t="s">
        <v>322</v>
      </c>
      <c r="J37" s="674"/>
    </row>
    <row r="38" spans="1:15" ht="32.25" customHeight="1" thickBot="1" x14ac:dyDescent="0.3">
      <c r="F38" s="671"/>
      <c r="G38" s="577" t="s">
        <v>117</v>
      </c>
      <c r="H38" s="577" t="s">
        <v>118</v>
      </c>
      <c r="I38" s="577" t="s">
        <v>117</v>
      </c>
      <c r="J38" s="578" t="s">
        <v>118</v>
      </c>
    </row>
    <row r="39" spans="1:15" ht="29.25" customHeight="1" x14ac:dyDescent="0.25">
      <c r="F39" s="579" t="s">
        <v>131</v>
      </c>
      <c r="G39" s="580">
        <f>+G40+G41+G42</f>
        <v>276564414745</v>
      </c>
      <c r="H39" s="580">
        <f>+H40+H41+H42</f>
        <v>276564414745</v>
      </c>
      <c r="I39" s="580">
        <f>+I40+I42</f>
        <v>243363791278</v>
      </c>
      <c r="J39" s="581">
        <f>+J40+J42</f>
        <v>243363791278</v>
      </c>
      <c r="K39" s="86"/>
    </row>
    <row r="40" spans="1:15" ht="30" customHeight="1" x14ac:dyDescent="0.25">
      <c r="F40" s="31" t="s">
        <v>132</v>
      </c>
      <c r="G40" s="190">
        <f>+G12</f>
        <v>181795211141</v>
      </c>
      <c r="H40" s="190">
        <f>+G40</f>
        <v>181795211141</v>
      </c>
      <c r="I40" s="190">
        <f>+I12</f>
        <v>184254367181</v>
      </c>
      <c r="J40" s="471">
        <f>+I40</f>
        <v>184254367181</v>
      </c>
    </row>
    <row r="41" spans="1:15" ht="30" customHeight="1" x14ac:dyDescent="0.25">
      <c r="F41" s="439" t="s">
        <v>317</v>
      </c>
      <c r="G41" s="440">
        <v>20000000000</v>
      </c>
      <c r="H41" s="440">
        <f>+G41</f>
        <v>20000000000</v>
      </c>
      <c r="I41" s="440">
        <v>0</v>
      </c>
      <c r="J41" s="472">
        <v>0</v>
      </c>
    </row>
    <row r="42" spans="1:15" ht="25.9" customHeight="1" thickBot="1" x14ac:dyDescent="0.3">
      <c r="F42" s="32" t="s">
        <v>133</v>
      </c>
      <c r="G42" s="191">
        <f>+G24</f>
        <v>74769203604</v>
      </c>
      <c r="H42" s="191">
        <f>+G42</f>
        <v>74769203604</v>
      </c>
      <c r="I42" s="199">
        <f>+I24</f>
        <v>59109424097</v>
      </c>
      <c r="J42" s="200">
        <f>+J24</f>
        <v>59109424097</v>
      </c>
    </row>
    <row r="43" spans="1:15" ht="15" thickBot="1" x14ac:dyDescent="0.3"/>
    <row r="44" spans="1:15" ht="24" customHeight="1" x14ac:dyDescent="0.25">
      <c r="G44" s="86"/>
      <c r="I44" s="193" t="s">
        <v>160</v>
      </c>
      <c r="J44" s="194">
        <f>+J39</f>
        <v>243363791278</v>
      </c>
      <c r="L44" s="511">
        <v>243363791278</v>
      </c>
      <c r="M44" s="511"/>
      <c r="N44" s="511"/>
      <c r="O44" s="511"/>
    </row>
    <row r="45" spans="1:15" ht="50.25" customHeight="1" x14ac:dyDescent="0.25">
      <c r="G45" s="73"/>
      <c r="I45" s="195" t="s">
        <v>353</v>
      </c>
      <c r="J45" s="184">
        <f>+'FORMULARIO 2 GASTOS'!L95+'FORMULARIO 2 GASTOS'!L97</f>
        <v>74812028851</v>
      </c>
      <c r="L45" s="512">
        <v>74661701358</v>
      </c>
      <c r="M45" s="511">
        <v>150327493</v>
      </c>
      <c r="N45" s="511"/>
      <c r="O45" s="513">
        <f>+L45+M45</f>
        <v>74812028851</v>
      </c>
    </row>
    <row r="46" spans="1:15" ht="41.25" customHeight="1" thickBot="1" x14ac:dyDescent="0.3">
      <c r="G46" s="73"/>
      <c r="I46" s="582" t="s">
        <v>352</v>
      </c>
      <c r="J46" s="583">
        <f>+J44-J45</f>
        <v>168551762427</v>
      </c>
      <c r="L46" s="512">
        <v>168702089920</v>
      </c>
      <c r="M46" s="511"/>
      <c r="N46" s="511"/>
      <c r="O46" s="511"/>
    </row>
    <row r="47" spans="1:15" x14ac:dyDescent="0.25">
      <c r="J47" s="313"/>
      <c r="L47" s="511"/>
      <c r="M47" s="511"/>
      <c r="N47" s="511"/>
      <c r="O47" s="511"/>
    </row>
    <row r="48" spans="1:15" x14ac:dyDescent="0.25">
      <c r="J48" s="86"/>
      <c r="L48" s="511"/>
      <c r="M48" s="511"/>
      <c r="N48" s="511"/>
      <c r="O48" s="511"/>
    </row>
    <row r="49" spans="7:15" x14ac:dyDescent="0.25">
      <c r="G49" s="86"/>
      <c r="L49" s="514">
        <f>+J45+J46</f>
        <v>243363791278</v>
      </c>
      <c r="M49" s="511"/>
      <c r="N49" s="511"/>
      <c r="O49" s="511"/>
    </row>
    <row r="50" spans="7:15" x14ac:dyDescent="0.25">
      <c r="L50" s="511"/>
      <c r="M50" s="511"/>
      <c r="N50" s="511"/>
      <c r="O50" s="511"/>
    </row>
  </sheetData>
  <mergeCells count="15">
    <mergeCell ref="A7:I7"/>
    <mergeCell ref="A1:J1"/>
    <mergeCell ref="A2:J2"/>
    <mergeCell ref="A3:J3"/>
    <mergeCell ref="A5:I5"/>
    <mergeCell ref="A6:I6"/>
    <mergeCell ref="F37:F38"/>
    <mergeCell ref="G37:H37"/>
    <mergeCell ref="I37:J37"/>
    <mergeCell ref="A8:I8"/>
    <mergeCell ref="A10:D10"/>
    <mergeCell ref="F10:F11"/>
    <mergeCell ref="G10:H10"/>
    <mergeCell ref="I10:J10"/>
    <mergeCell ref="A33:F33"/>
  </mergeCells>
  <printOptions horizontalCentered="1"/>
  <pageMargins left="0.31496062992125984" right="0.31496062992125984" top="0.15748031496062992" bottom="0.15748031496062992" header="0.31496062992125984" footer="0.31496062992125984"/>
  <pageSetup scale="80" orientation="landscape"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66FFFF"/>
  </sheetPr>
  <dimension ref="A1:AU60"/>
  <sheetViews>
    <sheetView tabSelected="1" zoomScale="86" zoomScaleNormal="86" workbookViewId="0">
      <selection activeCell="AO18" sqref="AO18"/>
    </sheetView>
  </sheetViews>
  <sheetFormatPr baseColWidth="10" defaultColWidth="12.140625" defaultRowHeight="15" x14ac:dyDescent="0.25"/>
  <cols>
    <col min="1" max="1" width="58.7109375" style="1" customWidth="1"/>
    <col min="2" max="3" width="11.42578125" style="1" hidden="1" customWidth="1"/>
    <col min="4" max="4" width="9.42578125" style="1" hidden="1" customWidth="1"/>
    <col min="5" max="5" width="23.28515625" style="1" hidden="1" customWidth="1"/>
    <col min="6" max="6" width="10.5703125" style="1" hidden="1" customWidth="1"/>
    <col min="7" max="7" width="13.5703125" style="1" hidden="1" customWidth="1"/>
    <col min="8" max="8" width="8.140625" style="1" hidden="1" customWidth="1"/>
    <col min="9" max="9" width="13.7109375" style="1" hidden="1" customWidth="1"/>
    <col min="10" max="10" width="21.85546875" style="1" hidden="1" customWidth="1"/>
    <col min="11" max="11" width="16.7109375" style="1" hidden="1" customWidth="1"/>
    <col min="12" max="12" width="14.140625" style="2" hidden="1" customWidth="1"/>
    <col min="13" max="13" width="10.85546875" style="2" hidden="1" customWidth="1"/>
    <col min="14" max="14" width="5.5703125" style="3" hidden="1" customWidth="1"/>
    <col min="15" max="15" width="7" style="2" hidden="1" customWidth="1"/>
    <col min="16" max="16" width="12.140625" style="1" bestFit="1" customWidth="1"/>
    <col min="17" max="17" width="11.28515625" style="1" bestFit="1" customWidth="1"/>
    <col min="18" max="18" width="15.140625" style="1" bestFit="1" customWidth="1"/>
    <col min="19" max="19" width="24.85546875" style="39" bestFit="1" customWidth="1"/>
    <col min="20" max="20" width="14.42578125" style="46" customWidth="1"/>
    <col min="21" max="21" width="11.5703125" style="171" bestFit="1" customWidth="1"/>
    <col min="22" max="22" width="15.140625" bestFit="1" customWidth="1"/>
    <col min="23" max="23" width="24.85546875" bestFit="1" customWidth="1"/>
    <col min="24" max="24" width="15.5703125" customWidth="1"/>
    <col min="25" max="25" width="15.42578125" customWidth="1"/>
    <col min="26" max="26" width="15.28515625" customWidth="1"/>
    <col min="27" max="27" width="28.7109375" bestFit="1" customWidth="1"/>
    <col min="28" max="28" width="15.5703125" customWidth="1"/>
    <col min="29" max="29" width="15.42578125" customWidth="1"/>
    <col min="30" max="30" width="15.28515625" customWidth="1"/>
    <col min="31" max="31" width="28.7109375" bestFit="1" customWidth="1"/>
    <col min="32" max="32" width="13.42578125" style="39" bestFit="1" customWidth="1"/>
    <col min="33" max="33" width="14.140625" style="39" bestFit="1" customWidth="1"/>
    <col min="34" max="34" width="28.7109375" style="39" customWidth="1"/>
    <col min="35" max="35" width="20.42578125" style="39" customWidth="1"/>
    <col min="36" max="47" width="12.140625" style="39"/>
    <col min="48" max="16384" width="12.140625" style="1"/>
  </cols>
  <sheetData>
    <row r="1" spans="1:35" ht="20.25" customHeight="1" x14ac:dyDescent="0.25">
      <c r="A1" s="696" t="s">
        <v>70</v>
      </c>
      <c r="B1" s="696"/>
      <c r="C1" s="696"/>
      <c r="D1" s="696"/>
      <c r="E1" s="696"/>
      <c r="F1" s="696"/>
      <c r="G1" s="696"/>
      <c r="H1" s="696"/>
      <c r="I1" s="696"/>
      <c r="J1" s="696"/>
      <c r="K1" s="696"/>
      <c r="L1" s="696"/>
      <c r="M1" s="696"/>
      <c r="N1" s="696"/>
      <c r="O1" s="696"/>
      <c r="P1" s="696"/>
      <c r="Q1" s="696"/>
      <c r="R1" s="696"/>
      <c r="S1" s="696"/>
      <c r="T1" s="696"/>
      <c r="U1" s="696"/>
      <c r="V1" s="696"/>
      <c r="W1" s="696"/>
      <c r="X1" s="696"/>
      <c r="Y1" s="696"/>
      <c r="Z1" s="696"/>
      <c r="AA1" s="696"/>
      <c r="AB1" s="696"/>
      <c r="AC1" s="696"/>
      <c r="AD1" s="696"/>
      <c r="AE1" s="696"/>
    </row>
    <row r="2" spans="1:35" ht="24" customHeight="1" x14ac:dyDescent="0.25">
      <c r="A2" s="696" t="s">
        <v>71</v>
      </c>
      <c r="B2" s="696"/>
      <c r="C2" s="696"/>
      <c r="D2" s="696"/>
      <c r="E2" s="696"/>
      <c r="F2" s="696"/>
      <c r="G2" s="696"/>
      <c r="H2" s="696"/>
      <c r="I2" s="696"/>
      <c r="J2" s="696"/>
      <c r="K2" s="696"/>
      <c r="L2" s="696"/>
      <c r="M2" s="696"/>
      <c r="N2" s="696"/>
      <c r="O2" s="696"/>
      <c r="P2" s="696"/>
      <c r="Q2" s="696"/>
      <c r="R2" s="696"/>
      <c r="S2" s="696"/>
      <c r="T2" s="696"/>
      <c r="U2" s="696"/>
      <c r="V2" s="696"/>
      <c r="W2" s="696"/>
      <c r="X2" s="696"/>
      <c r="Y2" s="696"/>
      <c r="Z2" s="696"/>
      <c r="AA2" s="696"/>
      <c r="AB2" s="696"/>
      <c r="AC2" s="696"/>
      <c r="AD2" s="696"/>
      <c r="AE2" s="696"/>
    </row>
    <row r="3" spans="1:35" ht="26.25" customHeight="1" x14ac:dyDescent="0.25">
      <c r="A3" s="696" t="s">
        <v>77</v>
      </c>
      <c r="B3" s="696"/>
      <c r="C3" s="696"/>
      <c r="D3" s="696"/>
      <c r="E3" s="696"/>
      <c r="F3" s="696"/>
      <c r="G3" s="696"/>
      <c r="H3" s="696"/>
      <c r="I3" s="696"/>
      <c r="J3" s="696"/>
      <c r="K3" s="696"/>
      <c r="L3" s="696"/>
      <c r="M3" s="696"/>
      <c r="N3" s="696"/>
      <c r="O3" s="696"/>
      <c r="P3" s="696"/>
      <c r="Q3" s="696"/>
      <c r="R3" s="696"/>
      <c r="S3" s="696"/>
      <c r="T3" s="696"/>
      <c r="U3" s="696"/>
      <c r="V3" s="696"/>
      <c r="W3" s="696"/>
      <c r="X3" s="696"/>
      <c r="Y3" s="696"/>
      <c r="Z3" s="696"/>
      <c r="AA3" s="696"/>
      <c r="AB3" s="696"/>
      <c r="AC3" s="696"/>
      <c r="AD3" s="696"/>
      <c r="AE3" s="696"/>
    </row>
    <row r="5" spans="1:35" ht="18.75" customHeight="1" x14ac:dyDescent="0.25">
      <c r="A5" s="697" t="s">
        <v>78</v>
      </c>
      <c r="B5" s="697"/>
      <c r="C5" s="697"/>
      <c r="D5" s="697"/>
      <c r="E5" s="697"/>
      <c r="F5" s="697"/>
      <c r="G5" s="697"/>
      <c r="H5" s="697"/>
      <c r="I5" s="697"/>
      <c r="J5" s="697"/>
      <c r="K5" s="697"/>
      <c r="L5" s="697"/>
      <c r="M5" s="697"/>
      <c r="N5" s="697"/>
      <c r="O5" s="697"/>
      <c r="P5" s="697"/>
      <c r="Q5" s="697"/>
      <c r="R5" s="697"/>
      <c r="S5" s="697"/>
      <c r="T5" s="697"/>
      <c r="U5" s="697"/>
      <c r="V5" s="697"/>
      <c r="W5" s="697"/>
      <c r="X5" s="697"/>
      <c r="Y5" s="697"/>
      <c r="Z5" s="697"/>
      <c r="AA5" s="697"/>
      <c r="AB5" s="697"/>
      <c r="AC5" s="697"/>
      <c r="AD5" s="697"/>
      <c r="AE5" s="697"/>
    </row>
    <row r="6" spans="1:35" ht="28.5" customHeight="1" x14ac:dyDescent="0.25">
      <c r="A6" s="697" t="s">
        <v>351</v>
      </c>
      <c r="B6" s="697"/>
      <c r="C6" s="697"/>
      <c r="D6" s="697"/>
      <c r="E6" s="697"/>
      <c r="F6" s="697"/>
      <c r="G6" s="697"/>
      <c r="H6" s="697"/>
      <c r="I6" s="697"/>
      <c r="J6" s="697"/>
      <c r="K6" s="697"/>
      <c r="L6" s="697"/>
      <c r="M6" s="697"/>
      <c r="N6" s="697"/>
      <c r="O6" s="697"/>
      <c r="P6" s="697"/>
      <c r="Q6" s="697"/>
      <c r="R6" s="697"/>
      <c r="S6" s="697"/>
      <c r="T6" s="697"/>
      <c r="U6" s="697"/>
      <c r="V6" s="697"/>
      <c r="W6" s="697"/>
      <c r="X6" s="697"/>
      <c r="Y6" s="697"/>
      <c r="Z6" s="697"/>
      <c r="AA6" s="697"/>
      <c r="AB6" s="697"/>
      <c r="AC6" s="697"/>
      <c r="AD6" s="697"/>
      <c r="AE6" s="697"/>
    </row>
    <row r="7" spans="1:35" ht="19.5" thickBot="1" x14ac:dyDescent="0.3">
      <c r="A7" s="4"/>
      <c r="B7" s="5"/>
      <c r="C7" s="5"/>
      <c r="D7" s="5"/>
      <c r="E7" s="5"/>
      <c r="F7" s="5"/>
      <c r="G7" s="5"/>
      <c r="H7" s="5"/>
      <c r="I7" s="5"/>
      <c r="J7" s="49"/>
      <c r="K7" s="49"/>
      <c r="L7" s="41"/>
      <c r="M7" s="41"/>
      <c r="N7" s="42"/>
      <c r="O7" s="50"/>
      <c r="P7" s="39"/>
      <c r="Q7" s="39"/>
      <c r="S7" s="229"/>
      <c r="T7" s="229"/>
      <c r="U7" s="701"/>
      <c r="V7" s="701"/>
      <c r="W7" s="701"/>
      <c r="AA7" s="479"/>
      <c r="AB7" s="479"/>
      <c r="AC7" s="479"/>
      <c r="AD7" s="479"/>
      <c r="AE7" s="479"/>
    </row>
    <row r="8" spans="1:35" ht="33" hidden="1" customHeight="1" thickBot="1" x14ac:dyDescent="0.3">
      <c r="A8" s="61" t="s">
        <v>79</v>
      </c>
      <c r="B8" s="683" t="s">
        <v>80</v>
      </c>
      <c r="C8" s="684"/>
      <c r="D8" s="684"/>
      <c r="E8" s="684"/>
      <c r="F8" s="685"/>
      <c r="G8" s="683" t="s">
        <v>142</v>
      </c>
      <c r="H8" s="684"/>
      <c r="I8" s="684"/>
      <c r="J8" s="684"/>
      <c r="K8" s="685"/>
      <c r="L8" s="683" t="s">
        <v>143</v>
      </c>
      <c r="M8" s="684"/>
      <c r="N8" s="684"/>
      <c r="O8" s="684"/>
      <c r="P8" s="683" t="s">
        <v>144</v>
      </c>
      <c r="Q8" s="684"/>
      <c r="R8" s="684"/>
      <c r="S8" s="685"/>
    </row>
    <row r="9" spans="1:35" ht="48.6" customHeight="1" thickBot="1" x14ac:dyDescent="0.3">
      <c r="A9" s="691" t="s">
        <v>203</v>
      </c>
      <c r="B9" s="241"/>
      <c r="C9" s="686" t="s">
        <v>81</v>
      </c>
      <c r="D9" s="685"/>
      <c r="E9" s="63" t="s">
        <v>82</v>
      </c>
      <c r="F9" s="64" t="s">
        <v>83</v>
      </c>
      <c r="G9" s="62"/>
      <c r="H9" s="686" t="s">
        <v>158</v>
      </c>
      <c r="I9" s="685"/>
      <c r="J9" s="63" t="s">
        <v>157</v>
      </c>
      <c r="K9" s="64" t="s">
        <v>83</v>
      </c>
      <c r="L9" s="62"/>
      <c r="M9" s="686" t="s">
        <v>159</v>
      </c>
      <c r="N9" s="685"/>
      <c r="O9" s="63" t="s">
        <v>183</v>
      </c>
      <c r="P9" s="62"/>
      <c r="Q9" s="686" t="s">
        <v>163</v>
      </c>
      <c r="R9" s="685"/>
      <c r="S9" s="63" t="s">
        <v>182</v>
      </c>
      <c r="T9" s="62"/>
      <c r="U9" s="686" t="s">
        <v>184</v>
      </c>
      <c r="V9" s="685"/>
      <c r="W9" s="63" t="s">
        <v>186</v>
      </c>
      <c r="X9" s="62"/>
      <c r="Y9" s="686" t="s">
        <v>185</v>
      </c>
      <c r="Z9" s="700"/>
      <c r="AA9" s="63" t="s">
        <v>318</v>
      </c>
      <c r="AB9" s="256"/>
      <c r="AC9" s="694" t="s">
        <v>206</v>
      </c>
      <c r="AD9" s="695"/>
      <c r="AE9" s="698" t="s">
        <v>299</v>
      </c>
      <c r="AF9" s="515"/>
      <c r="AG9" s="687" t="s">
        <v>296</v>
      </c>
      <c r="AH9" s="688"/>
      <c r="AI9" s="689" t="s">
        <v>297</v>
      </c>
    </row>
    <row r="10" spans="1:35" ht="12.75" customHeight="1" x14ac:dyDescent="0.25">
      <c r="A10" s="692"/>
      <c r="B10" s="242" t="s">
        <v>84</v>
      </c>
      <c r="C10" s="65" t="s">
        <v>85</v>
      </c>
      <c r="D10" s="66" t="s">
        <v>86</v>
      </c>
      <c r="E10" s="67"/>
      <c r="F10" s="67" t="s">
        <v>87</v>
      </c>
      <c r="G10" s="65" t="s">
        <v>84</v>
      </c>
      <c r="H10" s="65" t="s">
        <v>85</v>
      </c>
      <c r="I10" s="66" t="s">
        <v>86</v>
      </c>
      <c r="J10" s="67"/>
      <c r="K10" s="67" t="s">
        <v>87</v>
      </c>
      <c r="L10" s="65" t="s">
        <v>84</v>
      </c>
      <c r="M10" s="65" t="s">
        <v>85</v>
      </c>
      <c r="N10" s="66" t="s">
        <v>86</v>
      </c>
      <c r="O10" s="67"/>
      <c r="P10" s="65" t="s">
        <v>84</v>
      </c>
      <c r="Q10" s="65" t="s">
        <v>85</v>
      </c>
      <c r="R10" s="66" t="s">
        <v>86</v>
      </c>
      <c r="S10" s="67"/>
      <c r="T10" s="65" t="s">
        <v>84</v>
      </c>
      <c r="U10" s="65" t="s">
        <v>85</v>
      </c>
      <c r="V10" s="66" t="s">
        <v>86</v>
      </c>
      <c r="W10" s="67"/>
      <c r="X10" s="65" t="s">
        <v>84</v>
      </c>
      <c r="Y10" s="65" t="s">
        <v>85</v>
      </c>
      <c r="Z10" s="66" t="s">
        <v>86</v>
      </c>
      <c r="AA10" s="67"/>
      <c r="AB10" s="257" t="s">
        <v>84</v>
      </c>
      <c r="AC10" s="257" t="s">
        <v>85</v>
      </c>
      <c r="AD10" s="258" t="s">
        <v>86</v>
      </c>
      <c r="AE10" s="699"/>
      <c r="AF10" s="516" t="s">
        <v>84</v>
      </c>
      <c r="AG10" s="516" t="s">
        <v>85</v>
      </c>
      <c r="AH10" s="517" t="s">
        <v>86</v>
      </c>
      <c r="AI10" s="690"/>
    </row>
    <row r="11" spans="1:35" ht="12.75" x14ac:dyDescent="0.25">
      <c r="A11" s="692"/>
      <c r="B11" s="243" t="s">
        <v>88</v>
      </c>
      <c r="C11" s="68" t="s">
        <v>89</v>
      </c>
      <c r="D11" s="69" t="s">
        <v>90</v>
      </c>
      <c r="E11" s="67"/>
      <c r="F11" s="67" t="s">
        <v>91</v>
      </c>
      <c r="G11" s="68" t="s">
        <v>88</v>
      </c>
      <c r="H11" s="68" t="s">
        <v>89</v>
      </c>
      <c r="I11" s="69" t="s">
        <v>90</v>
      </c>
      <c r="J11" s="67"/>
      <c r="K11" s="67" t="s">
        <v>91</v>
      </c>
      <c r="L11" s="68" t="s">
        <v>88</v>
      </c>
      <c r="M11" s="68" t="s">
        <v>89</v>
      </c>
      <c r="N11" s="69" t="s">
        <v>90</v>
      </c>
      <c r="O11" s="67"/>
      <c r="P11" s="68" t="s">
        <v>88</v>
      </c>
      <c r="Q11" s="68" t="s">
        <v>89</v>
      </c>
      <c r="R11" s="69" t="s">
        <v>90</v>
      </c>
      <c r="S11" s="67"/>
      <c r="T11" s="68" t="s">
        <v>88</v>
      </c>
      <c r="U11" s="68" t="s">
        <v>89</v>
      </c>
      <c r="V11" s="69" t="s">
        <v>90</v>
      </c>
      <c r="W11" s="67"/>
      <c r="X11" s="68" t="s">
        <v>88</v>
      </c>
      <c r="Y11" s="68" t="s">
        <v>89</v>
      </c>
      <c r="Z11" s="69" t="s">
        <v>90</v>
      </c>
      <c r="AA11" s="67"/>
      <c r="AB11" s="259" t="s">
        <v>88</v>
      </c>
      <c r="AC11" s="259" t="s">
        <v>89</v>
      </c>
      <c r="AD11" s="260" t="s">
        <v>90</v>
      </c>
      <c r="AE11" s="261"/>
      <c r="AF11" s="518" t="s">
        <v>88</v>
      </c>
      <c r="AG11" s="518" t="s">
        <v>89</v>
      </c>
      <c r="AH11" s="519" t="s">
        <v>90</v>
      </c>
      <c r="AI11" s="520"/>
    </row>
    <row r="12" spans="1:35" ht="12.75" x14ac:dyDescent="0.25">
      <c r="A12" s="692"/>
      <c r="B12" s="244">
        <v>2017</v>
      </c>
      <c r="C12" s="68"/>
      <c r="D12" s="69">
        <v>2018</v>
      </c>
      <c r="E12" s="67"/>
      <c r="F12" s="67"/>
      <c r="G12" s="69">
        <v>2020</v>
      </c>
      <c r="H12" s="68"/>
      <c r="I12" s="69">
        <v>2020</v>
      </c>
      <c r="J12" s="67"/>
      <c r="K12" s="67"/>
      <c r="L12" s="69">
        <v>2021</v>
      </c>
      <c r="M12" s="68"/>
      <c r="N12" s="69">
        <v>2021</v>
      </c>
      <c r="O12" s="67"/>
      <c r="P12" s="69">
        <v>2022</v>
      </c>
      <c r="Q12" s="68"/>
      <c r="R12" s="69">
        <v>2022</v>
      </c>
      <c r="S12" s="67"/>
      <c r="T12" s="69">
        <v>2023</v>
      </c>
      <c r="U12" s="68"/>
      <c r="V12" s="69">
        <v>2023</v>
      </c>
      <c r="W12" s="67"/>
      <c r="X12" s="69">
        <v>2024</v>
      </c>
      <c r="Y12" s="68"/>
      <c r="Z12" s="69">
        <v>2024</v>
      </c>
      <c r="AA12" s="67"/>
      <c r="AB12" s="260">
        <v>2025</v>
      </c>
      <c r="AC12" s="259"/>
      <c r="AD12" s="260">
        <v>2025</v>
      </c>
      <c r="AE12" s="261"/>
      <c r="AF12" s="519">
        <v>2024</v>
      </c>
      <c r="AG12" s="518"/>
      <c r="AH12" s="519">
        <v>2024</v>
      </c>
      <c r="AI12" s="520"/>
    </row>
    <row r="13" spans="1:35" ht="13.5" thickBot="1" x14ac:dyDescent="0.3">
      <c r="A13" s="693"/>
      <c r="B13" s="243" t="s">
        <v>92</v>
      </c>
      <c r="C13" s="69">
        <v>11</v>
      </c>
      <c r="D13" s="69" t="s">
        <v>93</v>
      </c>
      <c r="E13" s="67" t="s">
        <v>94</v>
      </c>
      <c r="F13" s="67" t="s">
        <v>95</v>
      </c>
      <c r="G13" s="68" t="s">
        <v>92</v>
      </c>
      <c r="H13" s="69">
        <v>11</v>
      </c>
      <c r="I13" s="69" t="s">
        <v>93</v>
      </c>
      <c r="J13" s="67" t="s">
        <v>94</v>
      </c>
      <c r="K13" s="67" t="s">
        <v>95</v>
      </c>
      <c r="L13" s="68" t="s">
        <v>92</v>
      </c>
      <c r="M13" s="69">
        <v>11</v>
      </c>
      <c r="N13" s="69" t="s">
        <v>93</v>
      </c>
      <c r="O13" s="67" t="s">
        <v>94</v>
      </c>
      <c r="P13" s="68" t="s">
        <v>92</v>
      </c>
      <c r="Q13" s="69">
        <v>11</v>
      </c>
      <c r="R13" s="69" t="s">
        <v>93</v>
      </c>
      <c r="S13" s="67" t="s">
        <v>94</v>
      </c>
      <c r="T13" s="68" t="s">
        <v>92</v>
      </c>
      <c r="U13" s="69">
        <v>11</v>
      </c>
      <c r="V13" s="69" t="s">
        <v>93</v>
      </c>
      <c r="W13" s="67" t="s">
        <v>94</v>
      </c>
      <c r="X13" s="68" t="s">
        <v>92</v>
      </c>
      <c r="Y13" s="69">
        <v>11</v>
      </c>
      <c r="Z13" s="69" t="s">
        <v>93</v>
      </c>
      <c r="AA13" s="67" t="s">
        <v>94</v>
      </c>
      <c r="AB13" s="259" t="s">
        <v>92</v>
      </c>
      <c r="AC13" s="260">
        <v>11</v>
      </c>
      <c r="AD13" s="260" t="s">
        <v>93</v>
      </c>
      <c r="AE13" s="261" t="s">
        <v>94</v>
      </c>
      <c r="AF13" s="521" t="s">
        <v>92</v>
      </c>
      <c r="AG13" s="522">
        <v>11</v>
      </c>
      <c r="AH13" s="522" t="s">
        <v>93</v>
      </c>
      <c r="AI13" s="523" t="s">
        <v>94</v>
      </c>
    </row>
    <row r="14" spans="1:35" ht="22.9" customHeight="1" x14ac:dyDescent="0.25">
      <c r="A14" s="245" t="s">
        <v>96</v>
      </c>
      <c r="B14" s="7"/>
      <c r="C14" s="7"/>
      <c r="D14" s="7"/>
      <c r="E14" s="7"/>
      <c r="F14" s="8"/>
      <c r="G14" s="94"/>
      <c r="H14" s="95"/>
      <c r="I14" s="95"/>
      <c r="J14" s="95"/>
      <c r="K14" s="8"/>
      <c r="L14" s="6"/>
      <c r="M14" s="7"/>
      <c r="N14" s="7"/>
      <c r="O14" s="7"/>
      <c r="P14" s="55"/>
      <c r="Q14" s="56"/>
      <c r="R14" s="56"/>
      <c r="S14" s="232"/>
      <c r="T14" s="55"/>
      <c r="U14" s="56"/>
      <c r="V14" s="56"/>
      <c r="W14" s="57"/>
      <c r="X14" s="55"/>
      <c r="Y14" s="56"/>
      <c r="Z14" s="56"/>
      <c r="AA14" s="57"/>
      <c r="AB14" s="55"/>
      <c r="AC14" s="56"/>
      <c r="AD14" s="56"/>
      <c r="AE14" s="57"/>
      <c r="AF14" s="55"/>
      <c r="AG14" s="56"/>
      <c r="AH14" s="56"/>
      <c r="AI14" s="57"/>
    </row>
    <row r="15" spans="1:35" ht="27" customHeight="1" x14ac:dyDescent="0.25">
      <c r="A15" s="246" t="s">
        <v>97</v>
      </c>
      <c r="B15" s="10"/>
      <c r="C15" s="10"/>
      <c r="D15" s="10"/>
      <c r="E15" s="10"/>
      <c r="F15" s="11"/>
      <c r="G15" s="96"/>
      <c r="H15" s="97"/>
      <c r="I15" s="97"/>
      <c r="J15" s="97"/>
      <c r="K15" s="11"/>
      <c r="L15" s="9"/>
      <c r="M15" s="10"/>
      <c r="N15" s="10"/>
      <c r="O15" s="10"/>
      <c r="P15" s="58"/>
      <c r="Q15" s="59"/>
      <c r="R15" s="59"/>
      <c r="S15" s="233"/>
      <c r="T15" s="58"/>
      <c r="U15" s="59"/>
      <c r="V15" s="59"/>
      <c r="W15" s="60"/>
      <c r="X15" s="58"/>
      <c r="Y15" s="59"/>
      <c r="Z15" s="59"/>
      <c r="AA15" s="60"/>
      <c r="AB15" s="58"/>
      <c r="AC15" s="59"/>
      <c r="AD15" s="59"/>
      <c r="AE15" s="60"/>
      <c r="AF15" s="58"/>
      <c r="AG15" s="59"/>
      <c r="AH15" s="59"/>
      <c r="AI15" s="60"/>
    </row>
    <row r="16" spans="1:35" ht="47.25" customHeight="1" x14ac:dyDescent="0.25">
      <c r="A16" s="524" t="s">
        <v>98</v>
      </c>
      <c r="B16" s="525"/>
      <c r="C16" s="525"/>
      <c r="D16" s="525"/>
      <c r="E16" s="525" t="e">
        <f>+E46+E60+E52</f>
        <v>#REF!</v>
      </c>
      <c r="F16" s="526"/>
      <c r="G16" s="527"/>
      <c r="H16" s="525"/>
      <c r="I16" s="525"/>
      <c r="J16" s="528">
        <f>+J46+J52+J60</f>
        <v>70870000000</v>
      </c>
      <c r="K16" s="529"/>
      <c r="L16" s="530"/>
      <c r="M16" s="528"/>
      <c r="N16" s="528"/>
      <c r="O16" s="528" t="e">
        <f>+O46+O52+O60-1</f>
        <v>#REF!</v>
      </c>
      <c r="P16" s="530"/>
      <c r="Q16" s="528"/>
      <c r="R16" s="528"/>
      <c r="S16" s="531">
        <f>+S46+S52+S60</f>
        <v>140627558057.43002</v>
      </c>
      <c r="T16" s="530"/>
      <c r="U16" s="528"/>
      <c r="V16" s="528"/>
      <c r="W16" s="531">
        <f>+W46+W52+W60</f>
        <v>170608376464.5</v>
      </c>
      <c r="X16" s="530"/>
      <c r="Y16" s="528"/>
      <c r="Z16" s="528"/>
      <c r="AA16" s="531">
        <f>+AA46+AA52+AA60</f>
        <v>161985010617.23999</v>
      </c>
      <c r="AB16" s="530"/>
      <c r="AC16" s="528"/>
      <c r="AD16" s="528"/>
      <c r="AE16" s="529">
        <f>+AE46+AE52+AE60</f>
        <v>161795211141</v>
      </c>
      <c r="AF16" s="530"/>
      <c r="AG16" s="528"/>
      <c r="AH16" s="529">
        <f>+AH46+AH52+AH60</f>
        <v>0</v>
      </c>
      <c r="AI16" s="529">
        <f>+AI46+AI52+AI60</f>
        <v>184254367181</v>
      </c>
    </row>
    <row r="17" spans="1:47" ht="30" customHeight="1" x14ac:dyDescent="0.25">
      <c r="A17" s="532" t="s">
        <v>76</v>
      </c>
      <c r="B17" s="533"/>
      <c r="C17" s="533"/>
      <c r="D17" s="533"/>
      <c r="E17" s="533"/>
      <c r="F17" s="534"/>
      <c r="G17" s="535"/>
      <c r="H17" s="536"/>
      <c r="I17" s="536"/>
      <c r="J17" s="536"/>
      <c r="K17" s="537"/>
      <c r="L17" s="538"/>
      <c r="M17" s="539"/>
      <c r="N17" s="539"/>
      <c r="O17" s="539"/>
      <c r="P17" s="540"/>
      <c r="Q17" s="541"/>
      <c r="R17" s="541"/>
      <c r="S17" s="542"/>
      <c r="T17" s="540"/>
      <c r="U17" s="541"/>
      <c r="V17" s="541"/>
      <c r="W17" s="542"/>
      <c r="X17" s="540"/>
      <c r="Y17" s="541"/>
      <c r="Z17" s="541"/>
      <c r="AA17" s="542"/>
      <c r="AB17" s="540"/>
      <c r="AC17" s="541"/>
      <c r="AD17" s="541"/>
      <c r="AE17" s="542"/>
      <c r="AF17" s="540"/>
      <c r="AG17" s="541"/>
      <c r="AH17" s="541"/>
      <c r="AI17" s="542"/>
    </row>
    <row r="18" spans="1:47" ht="76.150000000000006" customHeight="1" x14ac:dyDescent="0.25">
      <c r="A18" s="247" t="s">
        <v>298</v>
      </c>
      <c r="B18" s="13"/>
      <c r="C18" s="13"/>
      <c r="D18" s="13"/>
      <c r="E18" s="13"/>
      <c r="F18" s="14"/>
      <c r="G18" s="125"/>
      <c r="H18" s="126"/>
      <c r="I18" s="127"/>
      <c r="J18" s="126"/>
      <c r="K18" s="128"/>
      <c r="L18" s="98"/>
      <c r="M18" s="99"/>
      <c r="N18" s="99"/>
      <c r="O18" s="99"/>
      <c r="P18" s="98"/>
      <c r="Q18" s="99"/>
      <c r="R18" s="99"/>
      <c r="S18" s="174"/>
      <c r="T18" s="240"/>
      <c r="U18" s="99"/>
      <c r="V18" s="99"/>
      <c r="W18" s="100"/>
      <c r="X18" s="98"/>
      <c r="Y18" s="99"/>
      <c r="Z18" s="99"/>
      <c r="AA18" s="100"/>
      <c r="AB18" s="98"/>
      <c r="AC18" s="99"/>
      <c r="AD18" s="99"/>
      <c r="AE18" s="100"/>
      <c r="AF18" s="98"/>
      <c r="AG18" s="99"/>
      <c r="AH18" s="99"/>
      <c r="AI18" s="100"/>
    </row>
    <row r="19" spans="1:47" ht="79.5" customHeight="1" x14ac:dyDescent="0.25">
      <c r="A19" s="248" t="s">
        <v>356</v>
      </c>
      <c r="B19" s="16">
        <f>E19/D19</f>
        <v>1127224.9432850243</v>
      </c>
      <c r="C19" s="15">
        <v>0.03</v>
      </c>
      <c r="D19" s="16">
        <v>41400</v>
      </c>
      <c r="E19" s="16">
        <v>46667112652</v>
      </c>
      <c r="F19" s="17"/>
      <c r="G19" s="123">
        <f>+J19/I19</f>
        <v>1049091.3832790444</v>
      </c>
      <c r="H19" s="129"/>
      <c r="I19" s="130">
        <v>46050</v>
      </c>
      <c r="J19" s="130">
        <v>48310658200</v>
      </c>
      <c r="K19" s="131"/>
      <c r="L19" s="124">
        <f>+O19/N19</f>
        <v>1292750.263435195</v>
      </c>
      <c r="M19" s="122"/>
      <c r="N19" s="132">
        <v>47450</v>
      </c>
      <c r="O19" s="132">
        <v>61341000000</v>
      </c>
      <c r="P19" s="124">
        <f>+S19/R19</f>
        <v>1086817.3903021277</v>
      </c>
      <c r="Q19" s="102"/>
      <c r="R19" s="132">
        <v>49350</v>
      </c>
      <c r="S19" s="177">
        <v>53634438211.410004</v>
      </c>
      <c r="T19" s="124">
        <f>+W19/V19</f>
        <v>536409.11945483868</v>
      </c>
      <c r="U19" s="102"/>
      <c r="V19" s="132">
        <v>55800</v>
      </c>
      <c r="W19" s="177">
        <v>29931628865.580002</v>
      </c>
      <c r="X19" s="124">
        <f>+AA19/Z19</f>
        <v>538733.34998277272</v>
      </c>
      <c r="Y19" s="102"/>
      <c r="Z19" s="132">
        <v>60950</v>
      </c>
      <c r="AA19" s="177">
        <v>32835797681.450001</v>
      </c>
      <c r="AB19" s="124">
        <f>+AE19/AD19</f>
        <v>493366.54745709826</v>
      </c>
      <c r="AC19" s="102"/>
      <c r="AD19" s="132">
        <v>64100</v>
      </c>
      <c r="AE19" s="174">
        <v>31624795692</v>
      </c>
      <c r="AF19" s="124">
        <v>506832</v>
      </c>
      <c r="AG19" s="102"/>
      <c r="AH19" s="132">
        <f>+ROUND((AD19*1.03),0)</f>
        <v>66023</v>
      </c>
      <c r="AI19" s="174">
        <f>+ROUND((AF19*AH19),0)</f>
        <v>33462569136</v>
      </c>
    </row>
    <row r="20" spans="1:47" ht="72" customHeight="1" x14ac:dyDescent="0.25">
      <c r="A20" s="262" t="s">
        <v>300</v>
      </c>
      <c r="G20" s="123"/>
      <c r="H20" s="129"/>
      <c r="I20" s="130"/>
      <c r="J20" s="130"/>
      <c r="K20" s="131"/>
      <c r="L20" s="124">
        <f>+O20/N20</f>
        <v>71123.941647727275</v>
      </c>
      <c r="M20" s="122"/>
      <c r="N20" s="132">
        <v>52800</v>
      </c>
      <c r="O20" s="132">
        <v>3755344119</v>
      </c>
      <c r="P20" s="124">
        <f>+S20/R20</f>
        <v>811492.30804484303</v>
      </c>
      <c r="Q20" s="102"/>
      <c r="R20" s="130">
        <v>55750</v>
      </c>
      <c r="S20" s="177">
        <v>45240696173.5</v>
      </c>
      <c r="T20" s="124">
        <f>+W20/V20</f>
        <v>1469154.1273116574</v>
      </c>
      <c r="U20" s="102"/>
      <c r="V20" s="130">
        <v>63050</v>
      </c>
      <c r="W20" s="177">
        <v>92630167727</v>
      </c>
      <c r="X20" s="124">
        <f>+AA20/Z20</f>
        <v>1106824.6759936141</v>
      </c>
      <c r="Y20" s="102"/>
      <c r="Z20" s="132">
        <v>68900</v>
      </c>
      <c r="AA20" s="177">
        <v>76260220175.960007</v>
      </c>
      <c r="AB20" s="124">
        <f>+AE20/AD20</f>
        <v>1103677.2878260869</v>
      </c>
      <c r="AC20" s="102"/>
      <c r="AD20" s="130">
        <v>72450</v>
      </c>
      <c r="AE20" s="174">
        <v>79961419503</v>
      </c>
      <c r="AF20" s="124">
        <v>1287989</v>
      </c>
      <c r="AG20" s="102"/>
      <c r="AH20" s="130">
        <f>+ROUND((AD20*1.03),0)</f>
        <v>74624</v>
      </c>
      <c r="AI20" s="174">
        <f>+ROUND((AF20*AH20),0)</f>
        <v>96114891136</v>
      </c>
    </row>
    <row r="21" spans="1:47" ht="30" customHeight="1" x14ac:dyDescent="0.25">
      <c r="A21" s="543" t="s">
        <v>99</v>
      </c>
      <c r="B21" s="544"/>
      <c r="C21" s="544"/>
      <c r="D21" s="544"/>
      <c r="E21" s="545">
        <f>+E19</f>
        <v>46667112652</v>
      </c>
      <c r="F21" s="546"/>
      <c r="G21" s="547"/>
      <c r="H21" s="548"/>
      <c r="I21" s="548"/>
      <c r="J21" s="549">
        <f>+J19</f>
        <v>48310658200</v>
      </c>
      <c r="K21" s="550"/>
      <c r="L21" s="551"/>
      <c r="M21" s="552"/>
      <c r="N21" s="552"/>
      <c r="O21" s="549">
        <f>+O19+O20</f>
        <v>65096344119</v>
      </c>
      <c r="P21" s="551"/>
      <c r="Q21" s="552"/>
      <c r="R21" s="552"/>
      <c r="S21" s="553">
        <f>+S19+S20</f>
        <v>98875134384.910004</v>
      </c>
      <c r="T21" s="551"/>
      <c r="U21" s="552"/>
      <c r="V21" s="552"/>
      <c r="W21" s="553">
        <f>+W19+W20</f>
        <v>122561796592.58</v>
      </c>
      <c r="X21" s="551"/>
      <c r="Y21" s="552"/>
      <c r="Z21" s="552"/>
      <c r="AA21" s="553">
        <f>+AA19+AA20</f>
        <v>109096017857.41</v>
      </c>
      <c r="AB21" s="551"/>
      <c r="AC21" s="552"/>
      <c r="AD21" s="552"/>
      <c r="AE21" s="554">
        <f>+AE19+AE20</f>
        <v>111586215195</v>
      </c>
      <c r="AF21" s="551"/>
      <c r="AG21" s="552"/>
      <c r="AH21" s="552"/>
      <c r="AI21" s="554">
        <f>+AI19+AI20</f>
        <v>129577460272</v>
      </c>
    </row>
    <row r="22" spans="1:47" ht="63.75" customHeight="1" x14ac:dyDescent="0.25">
      <c r="A22" s="247" t="s">
        <v>302</v>
      </c>
      <c r="B22" s="19"/>
      <c r="C22" s="19"/>
      <c r="D22" s="19"/>
      <c r="E22" s="19"/>
      <c r="F22" s="20"/>
      <c r="G22" s="133"/>
      <c r="H22" s="134"/>
      <c r="I22" s="134"/>
      <c r="J22" s="134"/>
      <c r="K22" s="135"/>
      <c r="L22" s="105"/>
      <c r="M22" s="106"/>
      <c r="N22" s="106"/>
      <c r="O22" s="106"/>
      <c r="P22" s="105"/>
      <c r="Q22" s="106"/>
      <c r="R22" s="106"/>
      <c r="S22" s="234"/>
      <c r="T22" s="105"/>
      <c r="U22" s="106"/>
      <c r="V22" s="106"/>
      <c r="W22" s="276"/>
      <c r="X22" s="105"/>
      <c r="Y22" s="106"/>
      <c r="Z22" s="106"/>
      <c r="AA22" s="107"/>
      <c r="AB22" s="105"/>
      <c r="AC22" s="106"/>
      <c r="AD22" s="106"/>
      <c r="AE22" s="107"/>
      <c r="AF22" s="105"/>
      <c r="AG22" s="106"/>
      <c r="AH22" s="106"/>
      <c r="AI22" s="107"/>
    </row>
    <row r="23" spans="1:47" ht="24" hidden="1" x14ac:dyDescent="0.25">
      <c r="A23" s="249" t="s">
        <v>100</v>
      </c>
      <c r="B23" s="51"/>
      <c r="C23" s="51"/>
      <c r="D23" s="51"/>
      <c r="E23" s="51"/>
      <c r="F23" s="70"/>
      <c r="G23" s="136"/>
      <c r="H23" s="137"/>
      <c r="I23" s="137"/>
      <c r="J23" s="137"/>
      <c r="K23" s="138"/>
      <c r="L23" s="108"/>
      <c r="M23" s="109"/>
      <c r="N23" s="109"/>
      <c r="O23" s="109"/>
      <c r="P23" s="108"/>
      <c r="Q23" s="109"/>
      <c r="R23" s="109"/>
      <c r="S23" s="110"/>
      <c r="T23" s="108"/>
      <c r="U23" s="109"/>
      <c r="V23" s="109"/>
      <c r="W23" s="277"/>
      <c r="X23" s="108"/>
      <c r="Y23" s="109"/>
      <c r="Z23" s="109"/>
      <c r="AA23" s="110"/>
      <c r="AB23" s="108"/>
      <c r="AC23" s="109"/>
      <c r="AD23" s="109"/>
      <c r="AE23" s="110"/>
      <c r="AF23" s="108"/>
      <c r="AG23" s="109"/>
      <c r="AH23" s="109"/>
      <c r="AI23" s="110"/>
    </row>
    <row r="24" spans="1:47" ht="51.6" customHeight="1" x14ac:dyDescent="0.25">
      <c r="A24" s="248" t="s">
        <v>301</v>
      </c>
      <c r="B24" s="16">
        <f>E24/D24</f>
        <v>53684.170900123303</v>
      </c>
      <c r="C24" s="15">
        <v>0.03</v>
      </c>
      <c r="D24" s="21">
        <v>40550</v>
      </c>
      <c r="E24" s="16">
        <v>2176893130</v>
      </c>
      <c r="F24" s="22"/>
      <c r="G24" s="139">
        <f>+J24/I24</f>
        <v>58446.387596899222</v>
      </c>
      <c r="H24" s="129"/>
      <c r="I24" s="140">
        <v>45150</v>
      </c>
      <c r="J24" s="130">
        <v>2638854400</v>
      </c>
      <c r="K24" s="141"/>
      <c r="L24" s="124">
        <f>O24/N24</f>
        <v>138159.7971646674</v>
      </c>
      <c r="M24" s="142"/>
      <c r="N24" s="143">
        <v>45850</v>
      </c>
      <c r="O24" s="132">
        <v>6334626700</v>
      </c>
      <c r="P24" s="123">
        <f>+S24/R24</f>
        <v>136819.24420454545</v>
      </c>
      <c r="Q24" s="111"/>
      <c r="R24" s="140">
        <v>48400</v>
      </c>
      <c r="S24" s="177">
        <v>6622051419.5</v>
      </c>
      <c r="T24" s="123">
        <f>+W24/V24</f>
        <v>123788.87371689497</v>
      </c>
      <c r="U24" s="111"/>
      <c r="V24" s="140">
        <v>54750</v>
      </c>
      <c r="W24" s="278">
        <v>6777440836</v>
      </c>
      <c r="X24" s="123">
        <f>+AA24/Z24</f>
        <v>109881.44380434783</v>
      </c>
      <c r="Y24" s="111"/>
      <c r="Z24" s="132">
        <v>59800</v>
      </c>
      <c r="AA24" s="278">
        <v>6570910339.5</v>
      </c>
      <c r="AB24" s="123">
        <f>+AE24/AD24</f>
        <v>130163.10432432432</v>
      </c>
      <c r="AC24" s="111"/>
      <c r="AD24" s="130">
        <v>62900</v>
      </c>
      <c r="AE24" s="173">
        <v>8187259262</v>
      </c>
      <c r="AF24" s="124">
        <v>123496</v>
      </c>
      <c r="AG24" s="111"/>
      <c r="AH24" s="130">
        <f>+ROUND((AD24*1.03),0)</f>
        <v>64787</v>
      </c>
      <c r="AI24" s="174">
        <f>+ROUND((AF24*AH24),0)</f>
        <v>8000935352</v>
      </c>
    </row>
    <row r="25" spans="1:47" s="23" customFormat="1" ht="30" customHeight="1" x14ac:dyDescent="0.25">
      <c r="A25" s="543" t="s">
        <v>99</v>
      </c>
      <c r="B25" s="544"/>
      <c r="C25" s="544"/>
      <c r="D25" s="544"/>
      <c r="E25" s="545">
        <f>+E23+E24</f>
        <v>2176893130</v>
      </c>
      <c r="F25" s="546"/>
      <c r="G25" s="547"/>
      <c r="H25" s="548"/>
      <c r="I25" s="548"/>
      <c r="J25" s="549">
        <f>+J23+J24</f>
        <v>2638854400</v>
      </c>
      <c r="K25" s="550"/>
      <c r="L25" s="551"/>
      <c r="M25" s="552"/>
      <c r="N25" s="552"/>
      <c r="O25" s="549">
        <f>+O23+O24</f>
        <v>6334626700</v>
      </c>
      <c r="P25" s="551"/>
      <c r="Q25" s="552"/>
      <c r="R25" s="552"/>
      <c r="S25" s="553">
        <f>+S23+S24</f>
        <v>6622051419.5</v>
      </c>
      <c r="T25" s="551"/>
      <c r="U25" s="552"/>
      <c r="V25" s="552"/>
      <c r="W25" s="553">
        <f>+W24</f>
        <v>6777440836</v>
      </c>
      <c r="X25" s="551"/>
      <c r="Y25" s="552"/>
      <c r="Z25" s="552"/>
      <c r="AA25" s="553">
        <f>SUM(AA24:AA24)</f>
        <v>6570910339.5</v>
      </c>
      <c r="AB25" s="551"/>
      <c r="AC25" s="552"/>
      <c r="AD25" s="552"/>
      <c r="AE25" s="554">
        <f>+AE24</f>
        <v>8187259262</v>
      </c>
      <c r="AF25" s="551"/>
      <c r="AG25" s="552"/>
      <c r="AH25" s="552"/>
      <c r="AI25" s="554">
        <f>+AI24</f>
        <v>8000935352</v>
      </c>
      <c r="AJ25" s="52"/>
      <c r="AK25" s="52"/>
      <c r="AL25" s="52"/>
      <c r="AM25" s="52"/>
      <c r="AN25" s="52"/>
      <c r="AO25" s="52"/>
      <c r="AP25" s="52"/>
      <c r="AQ25" s="52"/>
      <c r="AR25" s="52"/>
      <c r="AS25" s="52"/>
      <c r="AT25" s="52"/>
      <c r="AU25" s="52"/>
    </row>
    <row r="26" spans="1:47" s="39" customFormat="1" ht="73.5" customHeight="1" x14ac:dyDescent="0.25">
      <c r="A26" s="250" t="s">
        <v>303</v>
      </c>
      <c r="B26" s="33">
        <f>E26/D26</f>
        <v>29818.627532467533</v>
      </c>
      <c r="C26" s="35">
        <v>0.03</v>
      </c>
      <c r="D26" s="37">
        <v>3850</v>
      </c>
      <c r="E26" s="33">
        <v>114801716</v>
      </c>
      <c r="F26" s="38"/>
      <c r="G26" s="139">
        <f>+J26/I26</f>
        <v>39410.823529411762</v>
      </c>
      <c r="H26" s="144"/>
      <c r="I26" s="143">
        <v>4250</v>
      </c>
      <c r="J26" s="132">
        <v>167496000</v>
      </c>
      <c r="K26" s="145"/>
      <c r="L26" s="124">
        <f>O26/N26</f>
        <v>111604.0176744186</v>
      </c>
      <c r="M26" s="146"/>
      <c r="N26" s="143">
        <v>4300</v>
      </c>
      <c r="O26" s="132">
        <v>479897276</v>
      </c>
      <c r="P26" s="124">
        <f>+S26/R26</f>
        <v>157382.17415333336</v>
      </c>
      <c r="Q26" s="113"/>
      <c r="R26" s="143">
        <v>4500</v>
      </c>
      <c r="S26" s="177">
        <v>708219783.69000006</v>
      </c>
      <c r="T26" s="124">
        <f>+W26/V26</f>
        <v>201554.20455643564</v>
      </c>
      <c r="U26" s="113"/>
      <c r="V26" s="143">
        <v>5050</v>
      </c>
      <c r="W26" s="177">
        <v>1017848733.01</v>
      </c>
      <c r="X26" s="124">
        <f>+AA26/Z26</f>
        <v>205880.65851999997</v>
      </c>
      <c r="Y26" s="113"/>
      <c r="Z26" s="132">
        <v>5500</v>
      </c>
      <c r="AA26" s="177">
        <v>1132343621.8599999</v>
      </c>
      <c r="AB26" s="124">
        <f>+AE26/AD26</f>
        <v>154528.39217391305</v>
      </c>
      <c r="AC26" s="113"/>
      <c r="AD26" s="130">
        <v>5750</v>
      </c>
      <c r="AE26" s="174">
        <v>888538255</v>
      </c>
      <c r="AF26" s="124">
        <v>188272</v>
      </c>
      <c r="AG26" s="113"/>
      <c r="AH26" s="130">
        <f>+ROUND((AD26*1.03),0)</f>
        <v>5923</v>
      </c>
      <c r="AI26" s="174">
        <f>+ROUND((AF26*AH26),0)</f>
        <v>1115135056</v>
      </c>
    </row>
    <row r="27" spans="1:47" ht="15" hidden="1" customHeight="1" x14ac:dyDescent="0.25">
      <c r="A27" s="247" t="s">
        <v>101</v>
      </c>
      <c r="B27" s="13"/>
      <c r="C27" s="13"/>
      <c r="D27" s="13"/>
      <c r="E27" s="13"/>
      <c r="F27" s="14"/>
      <c r="G27" s="125"/>
      <c r="H27" s="126"/>
      <c r="I27" s="126"/>
      <c r="J27" s="126"/>
      <c r="K27" s="128"/>
      <c r="L27" s="98"/>
      <c r="M27" s="99"/>
      <c r="N27" s="99"/>
      <c r="O27" s="99"/>
      <c r="P27" s="98"/>
      <c r="Q27" s="99"/>
      <c r="R27" s="99"/>
      <c r="S27" s="235"/>
      <c r="T27" s="98"/>
      <c r="U27" s="99"/>
      <c r="V27" s="99"/>
      <c r="W27" s="100"/>
      <c r="X27" s="98"/>
      <c r="Y27" s="99"/>
      <c r="Z27" s="99"/>
      <c r="AA27" s="100"/>
      <c r="AB27" s="98"/>
      <c r="AC27" s="99"/>
      <c r="AD27" s="99"/>
      <c r="AE27" s="100"/>
      <c r="AF27" s="98"/>
      <c r="AG27" s="99"/>
      <c r="AH27" s="99"/>
      <c r="AI27" s="100"/>
    </row>
    <row r="28" spans="1:47" ht="27.75" customHeight="1" x14ac:dyDescent="0.25">
      <c r="A28" s="543" t="s">
        <v>99</v>
      </c>
      <c r="B28" s="544"/>
      <c r="C28" s="544"/>
      <c r="D28" s="544"/>
      <c r="E28" s="584">
        <f>+E26</f>
        <v>114801716</v>
      </c>
      <c r="F28" s="546"/>
      <c r="G28" s="547"/>
      <c r="H28" s="548"/>
      <c r="I28" s="548"/>
      <c r="J28" s="585">
        <f>+J26</f>
        <v>167496000</v>
      </c>
      <c r="K28" s="550"/>
      <c r="L28" s="551"/>
      <c r="M28" s="552"/>
      <c r="N28" s="552"/>
      <c r="O28" s="586">
        <f>+O26</f>
        <v>479897276</v>
      </c>
      <c r="P28" s="587"/>
      <c r="Q28" s="588"/>
      <c r="R28" s="588"/>
      <c r="S28" s="589">
        <f>+S26</f>
        <v>708219783.69000006</v>
      </c>
      <c r="T28" s="587"/>
      <c r="U28" s="588"/>
      <c r="V28" s="588"/>
      <c r="W28" s="589">
        <f>+W26</f>
        <v>1017848733.01</v>
      </c>
      <c r="X28" s="587"/>
      <c r="Y28" s="588"/>
      <c r="Z28" s="588"/>
      <c r="AA28" s="589">
        <f>+AA26</f>
        <v>1132343621.8599999</v>
      </c>
      <c r="AB28" s="587"/>
      <c r="AC28" s="588"/>
      <c r="AD28" s="588"/>
      <c r="AE28" s="590">
        <f>+AE26</f>
        <v>888538255</v>
      </c>
      <c r="AF28" s="587"/>
      <c r="AG28" s="588"/>
      <c r="AH28" s="588"/>
      <c r="AI28" s="590">
        <f>+AI26</f>
        <v>1115135056</v>
      </c>
    </row>
    <row r="29" spans="1:47" ht="33" customHeight="1" x14ac:dyDescent="0.25">
      <c r="A29" s="247" t="s">
        <v>156</v>
      </c>
      <c r="B29" s="19"/>
      <c r="C29" s="19"/>
      <c r="D29" s="19"/>
      <c r="E29" s="19"/>
      <c r="F29" s="20"/>
      <c r="G29" s="133"/>
      <c r="H29" s="134"/>
      <c r="I29" s="134"/>
      <c r="J29" s="134"/>
      <c r="K29" s="135"/>
      <c r="L29" s="105"/>
      <c r="M29" s="106"/>
      <c r="N29" s="106"/>
      <c r="O29" s="106"/>
      <c r="P29" s="105"/>
      <c r="Q29" s="106"/>
      <c r="R29" s="106"/>
      <c r="S29" s="234"/>
      <c r="T29" s="105"/>
      <c r="U29" s="106"/>
      <c r="V29" s="106"/>
      <c r="W29" s="276"/>
      <c r="X29" s="105"/>
      <c r="Y29" s="106"/>
      <c r="Z29" s="106"/>
      <c r="AA29" s="107"/>
      <c r="AB29" s="105"/>
      <c r="AC29" s="106"/>
      <c r="AD29" s="106"/>
      <c r="AE29" s="107"/>
      <c r="AF29" s="105"/>
      <c r="AG29" s="106"/>
      <c r="AH29" s="106"/>
      <c r="AI29" s="107"/>
    </row>
    <row r="30" spans="1:47" ht="58.5" customHeight="1" x14ac:dyDescent="0.25">
      <c r="A30" s="249" t="s">
        <v>309</v>
      </c>
      <c r="B30" s="43"/>
      <c r="C30" s="43"/>
      <c r="D30" s="43"/>
      <c r="E30" s="43"/>
      <c r="F30" s="44"/>
      <c r="G30" s="475"/>
      <c r="H30" s="162"/>
      <c r="I30" s="162"/>
      <c r="J30" s="162"/>
      <c r="K30" s="476"/>
      <c r="L30" s="477"/>
      <c r="M30" s="474"/>
      <c r="N30" s="474"/>
      <c r="O30" s="474"/>
      <c r="P30" s="477"/>
      <c r="Q30" s="474"/>
      <c r="R30" s="474"/>
      <c r="S30" s="234"/>
      <c r="T30" s="477"/>
      <c r="U30" s="474"/>
      <c r="V30" s="474"/>
      <c r="W30" s="478"/>
      <c r="X30" s="477"/>
      <c r="Y30" s="474"/>
      <c r="Z30" s="152">
        <v>16550</v>
      </c>
      <c r="AA30" s="479"/>
      <c r="AB30" s="473"/>
      <c r="AC30" s="474"/>
      <c r="AD30" s="132">
        <v>17400</v>
      </c>
      <c r="AE30" s="174"/>
      <c r="AF30" s="473">
        <v>4185</v>
      </c>
      <c r="AG30" s="474"/>
      <c r="AH30" s="132">
        <v>17922</v>
      </c>
      <c r="AI30" s="174">
        <f>+ROUND((AF30*AH30),0)</f>
        <v>75003570</v>
      </c>
    </row>
    <row r="31" spans="1:47" ht="72.75" customHeight="1" x14ac:dyDescent="0.25">
      <c r="A31" s="248" t="s">
        <v>304</v>
      </c>
      <c r="B31" s="16">
        <f>E31/D31</f>
        <v>1532721.0629411766</v>
      </c>
      <c r="C31" s="15">
        <v>0.03</v>
      </c>
      <c r="D31" s="16">
        <v>6800</v>
      </c>
      <c r="E31" s="16">
        <v>10422503228</v>
      </c>
      <c r="F31" s="17"/>
      <c r="G31" s="124">
        <f>J31/I31</f>
        <v>1700667.1266666667</v>
      </c>
      <c r="H31" s="129"/>
      <c r="I31" s="130">
        <v>7500</v>
      </c>
      <c r="J31" s="130">
        <v>12755003450</v>
      </c>
      <c r="K31" s="131"/>
      <c r="L31" s="124">
        <f>O31/N31</f>
        <v>2376233.4340789472</v>
      </c>
      <c r="M31" s="130"/>
      <c r="N31" s="130">
        <v>7600</v>
      </c>
      <c r="O31" s="130">
        <v>18059374099</v>
      </c>
      <c r="P31" s="124">
        <f>+S31/R31</f>
        <v>2433360.2676587501</v>
      </c>
      <c r="Q31" s="103"/>
      <c r="R31" s="132">
        <v>8000</v>
      </c>
      <c r="S31" s="177">
        <v>19466882141.27</v>
      </c>
      <c r="T31" s="124">
        <f>+W31/V31</f>
        <v>2089260.9865422223</v>
      </c>
      <c r="U31" s="103"/>
      <c r="V31" s="132">
        <v>9000</v>
      </c>
      <c r="W31" s="278">
        <v>18803348878.880001</v>
      </c>
      <c r="X31" s="124">
        <f>+AA31/Z31</f>
        <v>2131205.8303163266</v>
      </c>
      <c r="Y31" s="103"/>
      <c r="Z31" s="132">
        <v>9800</v>
      </c>
      <c r="AA31" s="278">
        <v>20885817137.099998</v>
      </c>
      <c r="AB31" s="124">
        <f>+AE31/AD31</f>
        <v>2253625.64</v>
      </c>
      <c r="AC31" s="103"/>
      <c r="AD31" s="130">
        <v>10300</v>
      </c>
      <c r="AE31" s="173">
        <v>23212344092</v>
      </c>
      <c r="AF31" s="124">
        <v>2217942</v>
      </c>
      <c r="AG31" s="103"/>
      <c r="AH31" s="130">
        <f>+ROUND((AD31*1.03),0)</f>
        <v>10609</v>
      </c>
      <c r="AI31" s="174">
        <f>+ROUND((AF31*AH31),0)</f>
        <v>23530146678</v>
      </c>
    </row>
    <row r="32" spans="1:47" ht="72.75" hidden="1" customHeight="1" x14ac:dyDescent="0.25">
      <c r="A32" s="263" t="s">
        <v>207</v>
      </c>
      <c r="B32" s="16"/>
      <c r="C32" s="15"/>
      <c r="D32" s="16"/>
      <c r="E32" s="16"/>
      <c r="F32" s="17"/>
      <c r="G32" s="124"/>
      <c r="H32" s="129"/>
      <c r="I32" s="130"/>
      <c r="J32" s="130"/>
      <c r="K32" s="131"/>
      <c r="L32" s="124"/>
      <c r="M32" s="130"/>
      <c r="N32" s="130"/>
      <c r="O32" s="130"/>
      <c r="P32" s="124"/>
      <c r="Q32" s="103"/>
      <c r="R32" s="132"/>
      <c r="S32" s="177"/>
      <c r="T32" s="269"/>
      <c r="U32" s="103"/>
      <c r="V32" s="132"/>
      <c r="W32" s="278"/>
      <c r="X32" s="124"/>
      <c r="Y32" s="103"/>
      <c r="Z32" s="264">
        <v>17000</v>
      </c>
      <c r="AA32" s="173"/>
      <c r="AB32" s="269"/>
      <c r="AC32" s="103"/>
      <c r="AD32" s="130">
        <f>+ROUND((Z32*1.03),0)</f>
        <v>17510</v>
      </c>
      <c r="AE32" s="173">
        <f>+AB32*AD32</f>
        <v>0</v>
      </c>
      <c r="AF32" s="269"/>
      <c r="AG32" s="103"/>
      <c r="AH32" s="130"/>
      <c r="AI32" s="173"/>
    </row>
    <row r="33" spans="1:47" ht="90" customHeight="1" x14ac:dyDescent="0.25">
      <c r="A33" s="249" t="s">
        <v>305</v>
      </c>
      <c r="B33" s="16">
        <f>E33/D33</f>
        <v>1430394.388235294</v>
      </c>
      <c r="C33" s="15">
        <v>0.03</v>
      </c>
      <c r="D33" s="24">
        <v>680</v>
      </c>
      <c r="E33" s="16">
        <v>972668184</v>
      </c>
      <c r="F33" s="25"/>
      <c r="G33" s="123">
        <f>J33/I33</f>
        <v>1501395.3</v>
      </c>
      <c r="H33" s="129"/>
      <c r="I33" s="147">
        <v>750</v>
      </c>
      <c r="J33" s="130">
        <v>1126046475</v>
      </c>
      <c r="K33" s="148"/>
      <c r="L33" s="123">
        <f>O33/N33</f>
        <v>3255090.5526315789</v>
      </c>
      <c r="M33" s="147"/>
      <c r="N33" s="147">
        <v>760</v>
      </c>
      <c r="O33" s="130">
        <v>2473868820</v>
      </c>
      <c r="P33" s="124">
        <f>+S33/R33</f>
        <v>3185363.54</v>
      </c>
      <c r="Q33" s="115"/>
      <c r="R33" s="147">
        <f>+R31*10%</f>
        <v>800</v>
      </c>
      <c r="S33" s="177">
        <v>2548290832</v>
      </c>
      <c r="T33" s="124">
        <f>+W33/V33</f>
        <v>2865517.6277777776</v>
      </c>
      <c r="U33" s="115"/>
      <c r="V33" s="147">
        <v>900</v>
      </c>
      <c r="W33" s="278">
        <v>2578965865</v>
      </c>
      <c r="X33" s="124">
        <f>+AA33/Z33</f>
        <v>2260589.2326530614</v>
      </c>
      <c r="Y33" s="115"/>
      <c r="Z33" s="132">
        <v>980</v>
      </c>
      <c r="AA33" s="278">
        <v>2215377448</v>
      </c>
      <c r="AB33" s="124">
        <f>+AE33/AD33</f>
        <v>3038746.5233009709</v>
      </c>
      <c r="AC33" s="115"/>
      <c r="AD33" s="130">
        <v>1030</v>
      </c>
      <c r="AE33" s="173">
        <v>3129908919</v>
      </c>
      <c r="AF33" s="124">
        <v>2270490</v>
      </c>
      <c r="AG33" s="115"/>
      <c r="AH33" s="130">
        <f>+ROUND((AD33*1.03),0)</f>
        <v>1061</v>
      </c>
      <c r="AI33" s="174">
        <f>+ROUND((AF33*AH33),0)</f>
        <v>2408989890</v>
      </c>
    </row>
    <row r="34" spans="1:47" s="39" customFormat="1" ht="72.75" customHeight="1" x14ac:dyDescent="0.25">
      <c r="A34" s="249" t="s">
        <v>310</v>
      </c>
      <c r="B34" s="437"/>
      <c r="C34" s="437"/>
      <c r="D34" s="437"/>
      <c r="E34" s="437"/>
      <c r="F34" s="438"/>
      <c r="G34" s="136"/>
      <c r="H34" s="137"/>
      <c r="I34" s="137"/>
      <c r="J34" s="137"/>
      <c r="K34" s="138"/>
      <c r="L34" s="108"/>
      <c r="M34" s="109"/>
      <c r="N34" s="109"/>
      <c r="O34" s="109">
        <v>0</v>
      </c>
      <c r="P34" s="108"/>
      <c r="Q34" s="109"/>
      <c r="R34" s="109"/>
      <c r="S34" s="110">
        <v>0</v>
      </c>
      <c r="T34" s="108"/>
      <c r="U34" s="109"/>
      <c r="V34" s="109"/>
      <c r="W34" s="110"/>
      <c r="X34" s="124">
        <f>+AA34/Z34</f>
        <v>130792.558</v>
      </c>
      <c r="Y34" s="109"/>
      <c r="Z34" s="132">
        <v>17000</v>
      </c>
      <c r="AA34" s="278">
        <v>2223473486</v>
      </c>
      <c r="AB34" s="108"/>
      <c r="AC34" s="109"/>
      <c r="AD34" s="130">
        <v>17850</v>
      </c>
      <c r="AE34" s="110"/>
      <c r="AF34" s="108"/>
      <c r="AG34" s="109"/>
      <c r="AH34" s="130">
        <f>+ROUND((AD34*1.03),0)</f>
        <v>18386</v>
      </c>
      <c r="AI34" s="110">
        <f>+AF34*AH34</f>
        <v>0</v>
      </c>
    </row>
    <row r="35" spans="1:47" s="23" customFormat="1" ht="30" customHeight="1" x14ac:dyDescent="0.25">
      <c r="A35" s="543" t="s">
        <v>99</v>
      </c>
      <c r="B35" s="544"/>
      <c r="C35" s="544"/>
      <c r="D35" s="544"/>
      <c r="E35" s="584">
        <f>SUM(E31:E33)</f>
        <v>11395171412</v>
      </c>
      <c r="F35" s="546"/>
      <c r="G35" s="547"/>
      <c r="H35" s="548"/>
      <c r="I35" s="548"/>
      <c r="J35" s="586">
        <f>+J31+J33</f>
        <v>13881049925</v>
      </c>
      <c r="K35" s="550"/>
      <c r="L35" s="551"/>
      <c r="M35" s="552"/>
      <c r="N35" s="552"/>
      <c r="O35" s="591">
        <f>SUM(O31:O33)</f>
        <v>20533242919</v>
      </c>
      <c r="P35" s="551"/>
      <c r="Q35" s="552"/>
      <c r="R35" s="552"/>
      <c r="S35" s="589">
        <f>+S31+S33</f>
        <v>22015172973.27</v>
      </c>
      <c r="T35" s="551"/>
      <c r="U35" s="552"/>
      <c r="V35" s="552"/>
      <c r="W35" s="589">
        <f>SUM(W31:W33)</f>
        <v>21382314743.880001</v>
      </c>
      <c r="X35" s="551"/>
      <c r="Y35" s="552"/>
      <c r="Z35" s="552"/>
      <c r="AA35" s="589">
        <f>+AA31+AA33+AA34</f>
        <v>25324668071.099998</v>
      </c>
      <c r="AB35" s="551"/>
      <c r="AC35" s="552"/>
      <c r="AD35" s="552"/>
      <c r="AE35" s="590">
        <f>+AE30+AE31+AE33</f>
        <v>26342253011</v>
      </c>
      <c r="AF35" s="551"/>
      <c r="AG35" s="552"/>
      <c r="AH35" s="552"/>
      <c r="AI35" s="590">
        <f>+AI30+AI31+AI33</f>
        <v>26014140138</v>
      </c>
      <c r="AJ35" s="52"/>
      <c r="AK35" s="52"/>
      <c r="AL35" s="52"/>
      <c r="AM35" s="52"/>
      <c r="AN35" s="52"/>
      <c r="AO35" s="52"/>
      <c r="AP35" s="52"/>
      <c r="AQ35" s="52"/>
      <c r="AR35" s="52"/>
      <c r="AS35" s="52"/>
      <c r="AT35" s="52"/>
      <c r="AU35" s="52"/>
    </row>
    <row r="36" spans="1:47" s="23" customFormat="1" ht="48" hidden="1" x14ac:dyDescent="0.25">
      <c r="A36" s="251" t="s">
        <v>102</v>
      </c>
      <c r="B36" s="26"/>
      <c r="C36" s="26"/>
      <c r="D36" s="26"/>
      <c r="E36" s="26"/>
      <c r="F36" s="27"/>
      <c r="G36" s="149"/>
      <c r="H36" s="150"/>
      <c r="I36" s="150"/>
      <c r="J36" s="150"/>
      <c r="K36" s="151"/>
      <c r="L36" s="116"/>
      <c r="M36" s="117"/>
      <c r="N36" s="117"/>
      <c r="O36" s="117"/>
      <c r="P36" s="116"/>
      <c r="Q36" s="117"/>
      <c r="R36" s="117"/>
      <c r="S36" s="234"/>
      <c r="T36" s="116"/>
      <c r="U36" s="117"/>
      <c r="V36" s="117"/>
      <c r="W36" s="118"/>
      <c r="X36" s="116"/>
      <c r="Y36" s="117"/>
      <c r="Z36" s="117"/>
      <c r="AA36" s="118"/>
      <c r="AB36" s="116"/>
      <c r="AC36" s="117"/>
      <c r="AD36" s="117"/>
      <c r="AE36" s="118"/>
      <c r="AF36" s="116"/>
      <c r="AG36" s="117"/>
      <c r="AH36" s="117"/>
      <c r="AI36" s="118"/>
      <c r="AJ36" s="52"/>
      <c r="AK36" s="52"/>
      <c r="AL36" s="52"/>
      <c r="AM36" s="52"/>
      <c r="AN36" s="52"/>
      <c r="AO36" s="52"/>
      <c r="AP36" s="52"/>
      <c r="AQ36" s="52"/>
      <c r="AR36" s="52"/>
      <c r="AS36" s="52"/>
      <c r="AT36" s="52"/>
      <c r="AU36" s="52"/>
    </row>
    <row r="37" spans="1:47" ht="63" customHeight="1" x14ac:dyDescent="0.25">
      <c r="A37" s="247" t="s">
        <v>306</v>
      </c>
      <c r="B37" s="16">
        <f>E37/D37</f>
        <v>70138.154999999999</v>
      </c>
      <c r="C37" s="15">
        <v>0.03</v>
      </c>
      <c r="D37" s="24">
        <v>100</v>
      </c>
      <c r="E37" s="24">
        <v>7013815.5</v>
      </c>
      <c r="F37" s="20"/>
      <c r="G37" s="124">
        <f>J37/I37</f>
        <v>47757.094900000004</v>
      </c>
      <c r="H37" s="144"/>
      <c r="I37" s="152">
        <v>100</v>
      </c>
      <c r="J37" s="132">
        <v>4775709.49</v>
      </c>
      <c r="K37" s="135"/>
      <c r="L37" s="123">
        <f>O37/N37</f>
        <v>0</v>
      </c>
      <c r="M37" s="153"/>
      <c r="N37" s="147">
        <v>100</v>
      </c>
      <c r="O37" s="132"/>
      <c r="P37" s="123"/>
      <c r="Q37" s="106"/>
      <c r="R37" s="147">
        <v>100</v>
      </c>
      <c r="S37" s="174">
        <v>0</v>
      </c>
      <c r="T37" s="123">
        <f>+W37/V37</f>
        <v>3084</v>
      </c>
      <c r="U37" s="106"/>
      <c r="V37" s="147">
        <v>100</v>
      </c>
      <c r="W37" s="177">
        <v>308400</v>
      </c>
      <c r="X37" s="123">
        <f>+AA37/Z37</f>
        <v>0</v>
      </c>
      <c r="Y37" s="106"/>
      <c r="Z37" s="152">
        <v>100</v>
      </c>
      <c r="AA37" s="278">
        <v>0</v>
      </c>
      <c r="AB37" s="124">
        <f>+AE37/AD37</f>
        <v>1028</v>
      </c>
      <c r="AC37" s="106"/>
      <c r="AD37" s="147">
        <v>100</v>
      </c>
      <c r="AE37" s="173">
        <v>102800</v>
      </c>
      <c r="AF37" s="124">
        <v>1028</v>
      </c>
      <c r="AG37" s="106"/>
      <c r="AH37" s="147">
        <v>100</v>
      </c>
      <c r="AI37" s="174">
        <f>+ROUND((AF37*AH37),0)</f>
        <v>102800</v>
      </c>
    </row>
    <row r="38" spans="1:47" s="39" customFormat="1" ht="40.5" customHeight="1" x14ac:dyDescent="0.25">
      <c r="A38" s="247" t="s">
        <v>311</v>
      </c>
      <c r="B38" s="33"/>
      <c r="C38" s="35"/>
      <c r="D38" s="40"/>
      <c r="E38" s="33"/>
      <c r="F38" s="38"/>
      <c r="G38" s="155"/>
      <c r="H38" s="144"/>
      <c r="I38" s="156"/>
      <c r="J38" s="157"/>
      <c r="K38" s="145"/>
      <c r="L38" s="112"/>
      <c r="M38" s="113"/>
      <c r="N38" s="227"/>
      <c r="O38" s="114"/>
      <c r="P38" s="114"/>
      <c r="Q38" s="113"/>
      <c r="R38" s="119"/>
      <c r="S38" s="104"/>
      <c r="T38" s="114"/>
      <c r="U38" s="113"/>
      <c r="V38" s="119"/>
      <c r="W38" s="104"/>
      <c r="X38" s="114"/>
      <c r="Y38" s="113"/>
      <c r="AA38" s="104">
        <v>0</v>
      </c>
      <c r="AB38" s="114"/>
      <c r="AC38" s="113"/>
      <c r="AD38" s="119"/>
      <c r="AE38" s="104"/>
      <c r="AF38" s="114"/>
      <c r="AG38" s="113"/>
      <c r="AH38" s="119"/>
      <c r="AI38" s="104"/>
    </row>
    <row r="39" spans="1:47" s="39" customFormat="1" ht="60" hidden="1" customHeight="1" x14ac:dyDescent="0.25">
      <c r="A39" s="436" t="s">
        <v>204</v>
      </c>
      <c r="B39" s="33"/>
      <c r="C39" s="35"/>
      <c r="D39" s="40"/>
      <c r="E39" s="33"/>
      <c r="F39" s="38"/>
      <c r="G39" s="155"/>
      <c r="H39" s="144"/>
      <c r="I39" s="143">
        <v>254100</v>
      </c>
      <c r="J39" s="157"/>
      <c r="K39" s="158"/>
      <c r="L39" s="112"/>
      <c r="M39" s="113"/>
      <c r="N39" s="143">
        <v>258150</v>
      </c>
      <c r="O39" s="114"/>
      <c r="P39" s="112"/>
      <c r="Q39" s="113"/>
      <c r="R39" s="143">
        <v>272650</v>
      </c>
      <c r="S39" s="104"/>
      <c r="T39" s="112"/>
      <c r="U39" s="113"/>
      <c r="V39" s="143">
        <v>308400</v>
      </c>
      <c r="W39" s="104"/>
      <c r="X39" s="112"/>
      <c r="Y39" s="113"/>
      <c r="Z39" s="143">
        <v>337000</v>
      </c>
      <c r="AA39" s="104"/>
      <c r="AB39" s="112"/>
      <c r="AC39" s="113"/>
      <c r="AD39" s="130"/>
      <c r="AE39" s="104"/>
      <c r="AF39" s="112"/>
      <c r="AG39" s="113"/>
      <c r="AH39" s="130"/>
      <c r="AI39" s="104"/>
    </row>
    <row r="40" spans="1:47" s="39" customFormat="1" ht="86.25" customHeight="1" x14ac:dyDescent="0.25">
      <c r="A40" s="250" t="s">
        <v>307</v>
      </c>
      <c r="B40" s="33">
        <f>E40/D40</f>
        <v>45396964.24439624</v>
      </c>
      <c r="C40" s="35">
        <v>0.03</v>
      </c>
      <c r="D40" s="40">
        <v>27.66</v>
      </c>
      <c r="E40" s="33">
        <v>1255680031</v>
      </c>
      <c r="F40" s="38"/>
      <c r="G40" s="123">
        <f>J40/I40</f>
        <v>16107665.591803718</v>
      </c>
      <c r="H40" s="159"/>
      <c r="I40" s="160">
        <v>74.180000000000007</v>
      </c>
      <c r="J40" s="132">
        <v>1194866633.5999999</v>
      </c>
      <c r="K40" s="145"/>
      <c r="L40" s="124">
        <f>O40/N40</f>
        <v>47261227.981955685</v>
      </c>
      <c r="M40" s="146"/>
      <c r="N40" s="160">
        <v>75.37</v>
      </c>
      <c r="O40" s="132">
        <v>3562078753</v>
      </c>
      <c r="P40" s="124">
        <f>+S40/R40</f>
        <v>72408759.092701927</v>
      </c>
      <c r="Q40" s="113"/>
      <c r="R40" s="160">
        <v>79.61</v>
      </c>
      <c r="S40" s="177">
        <v>5764461311.3699999</v>
      </c>
      <c r="T40" s="124">
        <f>+W40/V40</f>
        <v>92076209.572681844</v>
      </c>
      <c r="U40" s="113"/>
      <c r="V40" s="160">
        <v>90.05</v>
      </c>
      <c r="W40" s="177">
        <v>8291462672.0200005</v>
      </c>
      <c r="X40" s="124">
        <f>+AA40/Z40</f>
        <v>106520791.17051113</v>
      </c>
      <c r="Y40" s="113"/>
      <c r="Z40" s="159">
        <v>98.41</v>
      </c>
      <c r="AA40" s="177">
        <v>10482711059.09</v>
      </c>
      <c r="AB40" s="124">
        <f>+AE40/AD40</f>
        <v>68857226.562349081</v>
      </c>
      <c r="AC40" s="113"/>
      <c r="AD40" s="159">
        <v>103.53</v>
      </c>
      <c r="AE40" s="174">
        <v>7128788666</v>
      </c>
      <c r="AF40" s="124">
        <v>90335253</v>
      </c>
      <c r="AG40" s="113"/>
      <c r="AH40" s="159">
        <f>+AD40*1.03</f>
        <v>106.63590000000001</v>
      </c>
      <c r="AI40" s="174">
        <f>+ROUND((AF40*AH40),0)</f>
        <v>9632981005</v>
      </c>
    </row>
    <row r="41" spans="1:47" s="34" customFormat="1" ht="50.25" hidden="1" customHeight="1" x14ac:dyDescent="0.25">
      <c r="A41" s="250" t="s">
        <v>208</v>
      </c>
      <c r="B41" s="43"/>
      <c r="C41" s="43"/>
      <c r="D41" s="43"/>
      <c r="E41" s="43"/>
      <c r="F41" s="44"/>
      <c r="G41" s="123">
        <f>J41/I41</f>
        <v>0</v>
      </c>
      <c r="H41" s="169"/>
      <c r="I41" s="163">
        <v>111.97</v>
      </c>
      <c r="J41" s="152">
        <v>0</v>
      </c>
      <c r="K41" s="198"/>
      <c r="L41" s="124"/>
      <c r="M41" s="169"/>
      <c r="N41" s="163">
        <v>113.77</v>
      </c>
      <c r="O41" s="152"/>
      <c r="P41" s="124">
        <v>0</v>
      </c>
      <c r="Q41" s="169"/>
      <c r="R41" s="163">
        <v>120.16</v>
      </c>
      <c r="S41" s="174">
        <f>+P41*R41</f>
        <v>0</v>
      </c>
      <c r="T41" s="124">
        <v>0</v>
      </c>
      <c r="U41" s="169"/>
      <c r="V41" s="163">
        <v>135.91999999999999</v>
      </c>
      <c r="W41" s="174"/>
      <c r="X41" s="124"/>
      <c r="Y41" s="169"/>
      <c r="Z41" s="159">
        <v>148.54</v>
      </c>
      <c r="AA41" s="174"/>
      <c r="AB41" s="266">
        <v>0</v>
      </c>
      <c r="AC41" s="169"/>
      <c r="AD41" s="130">
        <f t="shared" ref="AD41:AD44" si="0">+ROUND((Z41*1.03),0)</f>
        <v>153</v>
      </c>
      <c r="AE41" s="174"/>
      <c r="AF41" s="266"/>
      <c r="AG41" s="169"/>
      <c r="AH41" s="130"/>
      <c r="AI41" s="174"/>
      <c r="AJ41" s="39"/>
      <c r="AK41" s="39"/>
      <c r="AL41" s="39"/>
      <c r="AM41" s="39"/>
      <c r="AN41" s="39"/>
      <c r="AO41" s="39"/>
      <c r="AP41" s="39"/>
      <c r="AQ41" s="39"/>
      <c r="AR41" s="39"/>
      <c r="AS41" s="39"/>
      <c r="AT41" s="39"/>
      <c r="AU41" s="39"/>
    </row>
    <row r="42" spans="1:47" ht="70.5" customHeight="1" x14ac:dyDescent="0.25">
      <c r="A42" s="250" t="s">
        <v>308</v>
      </c>
      <c r="B42" s="19"/>
      <c r="C42" s="19"/>
      <c r="D42" s="19"/>
      <c r="E42" s="19"/>
      <c r="F42" s="20"/>
      <c r="G42" s="123">
        <f>J42/I42</f>
        <v>74608164.672878325</v>
      </c>
      <c r="H42" s="134"/>
      <c r="I42" s="164">
        <v>44.54</v>
      </c>
      <c r="J42" s="130">
        <v>3323047654.5300002</v>
      </c>
      <c r="K42" s="135"/>
      <c r="L42" s="123">
        <f>+O42/N42</f>
        <v>61681457.445868321</v>
      </c>
      <c r="M42" s="106"/>
      <c r="N42" s="164">
        <v>45.26</v>
      </c>
      <c r="O42" s="130">
        <v>2791702764</v>
      </c>
      <c r="P42" s="123">
        <f>+S42/R42</f>
        <v>95485942.956903771</v>
      </c>
      <c r="Q42" s="106"/>
      <c r="R42" s="163">
        <v>47.8</v>
      </c>
      <c r="S42" s="174">
        <v>4564228073.3400002</v>
      </c>
      <c r="T42" s="123">
        <f>+W42/V42</f>
        <v>131365851.62419085</v>
      </c>
      <c r="U42" s="106"/>
      <c r="V42" s="163">
        <v>54.07</v>
      </c>
      <c r="W42" s="278">
        <v>7102951597.3199997</v>
      </c>
      <c r="X42" s="123">
        <f>+AA42/Z42</f>
        <v>149754745.43509901</v>
      </c>
      <c r="Y42" s="106"/>
      <c r="Z42" s="159">
        <v>59.09</v>
      </c>
      <c r="AA42" s="278">
        <v>8849007907.7600002</v>
      </c>
      <c r="AB42" s="124">
        <f>+AE42/AD42</f>
        <v>94382928.104890615</v>
      </c>
      <c r="AC42" s="106"/>
      <c r="AD42" s="154">
        <v>62.16</v>
      </c>
      <c r="AE42" s="173">
        <v>5866842811</v>
      </c>
      <c r="AF42" s="124">
        <v>125535513</v>
      </c>
      <c r="AG42" s="106"/>
      <c r="AH42" s="154">
        <f>+AD42*1.03</f>
        <v>64.024799999999999</v>
      </c>
      <c r="AI42" s="174">
        <f>+ROUND((AF42*AH42),0)</f>
        <v>8037386113</v>
      </c>
    </row>
    <row r="43" spans="1:47" ht="70.5" hidden="1" customHeight="1" x14ac:dyDescent="0.25">
      <c r="A43" s="250" t="s">
        <v>212</v>
      </c>
      <c r="B43" s="19"/>
      <c r="C43" s="19"/>
      <c r="D43" s="19"/>
      <c r="E43" s="19"/>
      <c r="F43" s="20"/>
      <c r="G43" s="123"/>
      <c r="H43" s="134"/>
      <c r="I43" s="164"/>
      <c r="J43" s="270"/>
      <c r="K43" s="135"/>
      <c r="L43" s="123"/>
      <c r="M43" s="106"/>
      <c r="N43" s="164"/>
      <c r="O43" s="270"/>
      <c r="P43" s="130"/>
      <c r="Q43" s="106"/>
      <c r="R43" s="163"/>
      <c r="S43" s="174"/>
      <c r="T43" s="271"/>
      <c r="U43" s="272"/>
      <c r="V43" s="273"/>
      <c r="W43" s="271"/>
      <c r="X43" s="123"/>
      <c r="Y43" s="106"/>
      <c r="Z43" s="274">
        <v>64.95</v>
      </c>
      <c r="AA43" s="173"/>
      <c r="AB43" s="123"/>
      <c r="AC43" s="106"/>
      <c r="AD43" s="275">
        <f t="shared" si="0"/>
        <v>67</v>
      </c>
      <c r="AE43" s="173"/>
      <c r="AF43" s="123"/>
      <c r="AG43" s="106"/>
      <c r="AH43" s="275"/>
      <c r="AI43" s="173"/>
    </row>
    <row r="44" spans="1:47" ht="70.5" hidden="1" customHeight="1" x14ac:dyDescent="0.25">
      <c r="A44" s="250" t="s">
        <v>213</v>
      </c>
      <c r="B44" s="19"/>
      <c r="C44" s="19"/>
      <c r="D44" s="19"/>
      <c r="E44" s="19"/>
      <c r="F44" s="20"/>
      <c r="G44" s="123"/>
      <c r="H44" s="134"/>
      <c r="I44" s="164"/>
      <c r="J44" s="270"/>
      <c r="K44" s="135"/>
      <c r="L44" s="123"/>
      <c r="M44" s="106"/>
      <c r="N44" s="164"/>
      <c r="O44" s="270"/>
      <c r="P44" s="130"/>
      <c r="Q44" s="106"/>
      <c r="R44" s="163"/>
      <c r="S44" s="174"/>
      <c r="T44" s="271"/>
      <c r="U44" s="272"/>
      <c r="V44" s="273"/>
      <c r="W44" s="271"/>
      <c r="X44" s="123"/>
      <c r="Y44" s="106"/>
      <c r="Z44" s="274">
        <v>17978861.440000001</v>
      </c>
      <c r="AA44" s="173"/>
      <c r="AB44" s="123"/>
      <c r="AC44" s="106"/>
      <c r="AD44" s="275">
        <f t="shared" si="0"/>
        <v>18518227</v>
      </c>
      <c r="AE44" s="173"/>
      <c r="AF44" s="123"/>
      <c r="AG44" s="106"/>
      <c r="AH44" s="275"/>
      <c r="AI44" s="173"/>
    </row>
    <row r="45" spans="1:47" ht="30" customHeight="1" x14ac:dyDescent="0.25">
      <c r="A45" s="543" t="s">
        <v>99</v>
      </c>
      <c r="B45" s="544"/>
      <c r="C45" s="544"/>
      <c r="D45" s="544"/>
      <c r="E45" s="545" t="e">
        <f>+E40+#REF!+E37+E41</f>
        <v>#REF!</v>
      </c>
      <c r="F45" s="546"/>
      <c r="G45" s="547"/>
      <c r="H45" s="548"/>
      <c r="I45" s="548"/>
      <c r="J45" s="592">
        <f>+J37+J40+J41+J42</f>
        <v>4522689997.6199999</v>
      </c>
      <c r="K45" s="550"/>
      <c r="L45" s="551"/>
      <c r="M45" s="552"/>
      <c r="N45" s="552"/>
      <c r="O45" s="593">
        <f>+O37+O39+O40+O41+O42</f>
        <v>6353781517</v>
      </c>
      <c r="P45" s="594"/>
      <c r="Q45" s="594"/>
      <c r="R45" s="594"/>
      <c r="S45" s="595">
        <f>+S37+S39+S40+S41+S42</f>
        <v>10328689384.709999</v>
      </c>
      <c r="T45" s="596"/>
      <c r="U45" s="596"/>
      <c r="V45" s="596"/>
      <c r="W45" s="595">
        <f>+W37+W39+W40+W41+W42</f>
        <v>15394722669.34</v>
      </c>
      <c r="X45" s="596"/>
      <c r="Y45" s="596"/>
      <c r="Z45" s="596"/>
      <c r="AA45" s="595">
        <f>+AA37+AA39+AA40+AA41+AA42</f>
        <v>19331718966.849998</v>
      </c>
      <c r="AB45" s="596"/>
      <c r="AC45" s="596"/>
      <c r="AD45" s="596"/>
      <c r="AE45" s="597">
        <f>+AE37+AE40+AE42</f>
        <v>12995734277</v>
      </c>
      <c r="AF45" s="596"/>
      <c r="AG45" s="596"/>
      <c r="AH45" s="596"/>
      <c r="AI45" s="597">
        <f>+AI37+AI40+AI42</f>
        <v>17670469918</v>
      </c>
    </row>
    <row r="46" spans="1:47" ht="30" customHeight="1" thickBot="1" x14ac:dyDescent="0.3">
      <c r="A46" s="598" t="s">
        <v>103</v>
      </c>
      <c r="B46" s="599"/>
      <c r="C46" s="599"/>
      <c r="D46" s="599"/>
      <c r="E46" s="600" t="e">
        <f>E21+E25+E28+E35+E45</f>
        <v>#REF!</v>
      </c>
      <c r="F46" s="601"/>
      <c r="G46" s="602"/>
      <c r="H46" s="603"/>
      <c r="I46" s="603"/>
      <c r="J46" s="604">
        <f>+J21+J25+J28+J35+J45</f>
        <v>69520748522.619995</v>
      </c>
      <c r="K46" s="605"/>
      <c r="L46" s="602"/>
      <c r="M46" s="603"/>
      <c r="N46" s="603"/>
      <c r="O46" s="606">
        <f>O21+O25+O28+O35+O45</f>
        <v>98797892531</v>
      </c>
      <c r="P46" s="602"/>
      <c r="Q46" s="603"/>
      <c r="R46" s="603"/>
      <c r="S46" s="607">
        <f>S21+S25+S28+S35+S45</f>
        <v>138549267946.08002</v>
      </c>
      <c r="T46" s="602"/>
      <c r="U46" s="603"/>
      <c r="V46" s="603"/>
      <c r="W46" s="608">
        <f>W21+W25+W28+W35+W45</f>
        <v>167134123574.81</v>
      </c>
      <c r="X46" s="602"/>
      <c r="Y46" s="603"/>
      <c r="Z46" s="603"/>
      <c r="AA46" s="607">
        <f>AA21+AA25+AA28+AA35+AA45</f>
        <v>161455658856.72</v>
      </c>
      <c r="AB46" s="602"/>
      <c r="AC46" s="603"/>
      <c r="AD46" s="603"/>
      <c r="AE46" s="607">
        <f>+AE21+AE25+AE28+AE35+AE45</f>
        <v>160000000000</v>
      </c>
      <c r="AF46" s="602"/>
      <c r="AG46" s="603"/>
      <c r="AH46" s="603"/>
      <c r="AI46" s="607">
        <f>+AI21+AI25+AI28+AI35+AI45</f>
        <v>182378140736</v>
      </c>
    </row>
    <row r="47" spans="1:47" thickBot="1" x14ac:dyDescent="0.3">
      <c r="A47" s="54"/>
      <c r="G47" s="165"/>
      <c r="H47" s="165"/>
      <c r="I47" s="165"/>
      <c r="J47" s="165"/>
      <c r="K47" s="166"/>
      <c r="L47" s="120"/>
      <c r="M47" s="120"/>
      <c r="N47" s="120"/>
      <c r="O47" s="120"/>
      <c r="P47" s="120"/>
      <c r="Q47" s="120"/>
      <c r="R47" s="120"/>
      <c r="S47" s="236"/>
      <c r="T47" s="120"/>
      <c r="U47" s="120"/>
      <c r="V47" s="120"/>
      <c r="W47" s="120"/>
      <c r="X47" s="120"/>
      <c r="Y47" s="120"/>
      <c r="Z47" s="120"/>
      <c r="AA47" s="120"/>
      <c r="AB47" s="120"/>
      <c r="AC47" s="120"/>
      <c r="AD47" s="120"/>
      <c r="AE47" s="120"/>
      <c r="AF47" s="120"/>
      <c r="AG47" s="120"/>
      <c r="AH47" s="120"/>
      <c r="AI47" s="120"/>
    </row>
    <row r="48" spans="1:47" s="23" customFormat="1" ht="30" customHeight="1" thickBot="1" x14ac:dyDescent="0.3">
      <c r="A48" s="609" t="s">
        <v>106</v>
      </c>
      <c r="B48" s="610"/>
      <c r="C48" s="611"/>
      <c r="D48" s="611"/>
      <c r="E48" s="611"/>
      <c r="F48" s="612"/>
      <c r="G48" s="613"/>
      <c r="H48" s="614"/>
      <c r="I48" s="614"/>
      <c r="J48" s="614"/>
      <c r="K48" s="615"/>
      <c r="L48" s="613"/>
      <c r="M48" s="614"/>
      <c r="N48" s="614"/>
      <c r="O48" s="614"/>
      <c r="P48" s="613"/>
      <c r="Q48" s="614"/>
      <c r="R48" s="614"/>
      <c r="S48" s="615"/>
      <c r="T48" s="613"/>
      <c r="U48" s="614"/>
      <c r="V48" s="614"/>
      <c r="W48" s="615"/>
      <c r="X48" s="613"/>
      <c r="Y48" s="614"/>
      <c r="Z48" s="614"/>
      <c r="AA48" s="615"/>
      <c r="AB48" s="613"/>
      <c r="AC48" s="614"/>
      <c r="AD48" s="614"/>
      <c r="AE48" s="615"/>
      <c r="AF48" s="613"/>
      <c r="AG48" s="614"/>
      <c r="AH48" s="614"/>
      <c r="AI48" s="615"/>
      <c r="AJ48" s="52"/>
      <c r="AK48" s="52"/>
      <c r="AL48" s="52"/>
      <c r="AM48" s="52"/>
      <c r="AN48" s="52"/>
      <c r="AO48" s="52"/>
      <c r="AP48" s="52"/>
      <c r="AQ48" s="52"/>
      <c r="AR48" s="52"/>
      <c r="AS48" s="52"/>
      <c r="AT48" s="52"/>
      <c r="AU48" s="52"/>
    </row>
    <row r="49" spans="1:47" ht="41.25" customHeight="1" x14ac:dyDescent="0.25">
      <c r="A49" s="252" t="s">
        <v>319</v>
      </c>
      <c r="B49" s="16"/>
      <c r="C49" s="28"/>
      <c r="D49" s="28"/>
      <c r="E49" s="28">
        <v>1141817317.5699999</v>
      </c>
      <c r="F49" s="29"/>
      <c r="G49" s="161"/>
      <c r="H49" s="167"/>
      <c r="I49" s="167"/>
      <c r="J49" s="130">
        <v>1247694612</v>
      </c>
      <c r="K49" s="168"/>
      <c r="L49" s="101"/>
      <c r="M49" s="121"/>
      <c r="N49" s="121"/>
      <c r="O49" s="130">
        <v>1502218867</v>
      </c>
      <c r="P49" s="101"/>
      <c r="Q49" s="121"/>
      <c r="R49" s="121"/>
      <c r="S49" s="177">
        <v>1183684669.3099999</v>
      </c>
      <c r="U49" s="121"/>
      <c r="V49" s="121"/>
      <c r="W49" s="280">
        <v>3328196005.3699999</v>
      </c>
      <c r="X49" s="46"/>
      <c r="Y49" s="121"/>
      <c r="Z49" s="121"/>
      <c r="AA49" s="449">
        <v>397013039.20999998</v>
      </c>
      <c r="AB49" s="46"/>
      <c r="AC49" s="121"/>
      <c r="AD49" s="121"/>
      <c r="AE49" s="253">
        <v>1285592694</v>
      </c>
      <c r="AF49" s="46"/>
      <c r="AG49" s="121"/>
      <c r="AH49" s="121"/>
      <c r="AI49" s="253">
        <f>+ROUND((AE49*1.03),0)</f>
        <v>1324160475</v>
      </c>
    </row>
    <row r="50" spans="1:47" s="39" customFormat="1" ht="24" customHeight="1" x14ac:dyDescent="0.25">
      <c r="A50" s="441" t="s">
        <v>320</v>
      </c>
      <c r="B50" s="442"/>
      <c r="C50" s="443"/>
      <c r="D50" s="443"/>
      <c r="E50" s="443"/>
      <c r="F50" s="444"/>
      <c r="G50" s="155"/>
      <c r="H50" s="445"/>
      <c r="I50" s="445"/>
      <c r="J50" s="445"/>
      <c r="K50" s="446"/>
      <c r="L50" s="112"/>
      <c r="M50" s="447"/>
      <c r="N50" s="447"/>
      <c r="O50" s="227"/>
      <c r="P50" s="112"/>
      <c r="Q50" s="447"/>
      <c r="R50" s="447"/>
      <c r="S50" s="237"/>
      <c r="T50" s="112"/>
      <c r="U50" s="447"/>
      <c r="V50" s="447"/>
      <c r="W50" s="448"/>
      <c r="X50" s="112"/>
      <c r="Y50" s="447"/>
      <c r="Z50" s="447"/>
      <c r="AA50" s="448">
        <v>38984979.159999996</v>
      </c>
      <c r="AB50" s="112"/>
      <c r="AC50" s="447"/>
      <c r="AD50" s="447"/>
      <c r="AE50" s="237"/>
      <c r="AF50" s="112"/>
      <c r="AG50" s="447"/>
      <c r="AH50" s="447"/>
      <c r="AI50" s="237"/>
    </row>
    <row r="51" spans="1:47" s="23" customFormat="1" ht="30" customHeight="1" x14ac:dyDescent="0.25">
      <c r="A51" s="616" t="s">
        <v>99</v>
      </c>
      <c r="B51" s="617"/>
      <c r="C51" s="618"/>
      <c r="D51" s="618"/>
      <c r="E51" s="618"/>
      <c r="F51" s="619"/>
      <c r="G51" s="547"/>
      <c r="H51" s="620"/>
      <c r="I51" s="620"/>
      <c r="J51" s="621">
        <f>+J49</f>
        <v>1247694612</v>
      </c>
      <c r="K51" s="622"/>
      <c r="L51" s="551"/>
      <c r="M51" s="623"/>
      <c r="N51" s="623"/>
      <c r="O51" s="621" t="e">
        <f>O49+#REF!</f>
        <v>#REF!</v>
      </c>
      <c r="P51" s="551"/>
      <c r="Q51" s="623"/>
      <c r="R51" s="623"/>
      <c r="S51" s="624">
        <f>+S49</f>
        <v>1183684669.3099999</v>
      </c>
      <c r="T51" s="551"/>
      <c r="U51" s="623"/>
      <c r="V51" s="623"/>
      <c r="W51" s="625">
        <f>+W49</f>
        <v>3328196005.3699999</v>
      </c>
      <c r="X51" s="551"/>
      <c r="Y51" s="623"/>
      <c r="Z51" s="623"/>
      <c r="AA51" s="625">
        <f>+AA49+AA50</f>
        <v>435998018.37</v>
      </c>
      <c r="AB51" s="551"/>
      <c r="AC51" s="623"/>
      <c r="AD51" s="623"/>
      <c r="AE51" s="624">
        <f>+AE49</f>
        <v>1285592694</v>
      </c>
      <c r="AF51" s="551"/>
      <c r="AG51" s="623"/>
      <c r="AH51" s="623"/>
      <c r="AI51" s="624">
        <f>+AI49</f>
        <v>1324160475</v>
      </c>
      <c r="AJ51" s="52"/>
      <c r="AK51" s="52"/>
      <c r="AL51" s="52"/>
      <c r="AM51" s="52"/>
      <c r="AN51" s="52"/>
      <c r="AO51" s="52"/>
      <c r="AP51" s="52"/>
      <c r="AQ51" s="52"/>
      <c r="AR51" s="52"/>
      <c r="AS51" s="52"/>
      <c r="AT51" s="52"/>
      <c r="AU51" s="52"/>
    </row>
    <row r="52" spans="1:47" ht="30" customHeight="1" thickBot="1" x14ac:dyDescent="0.3">
      <c r="A52" s="626" t="s">
        <v>107</v>
      </c>
      <c r="B52" s="627"/>
      <c r="C52" s="628"/>
      <c r="D52" s="628"/>
      <c r="E52" s="629">
        <f>SUM(E48:E51)</f>
        <v>1141817317.5699999</v>
      </c>
      <c r="F52" s="630"/>
      <c r="G52" s="602"/>
      <c r="H52" s="631"/>
      <c r="I52" s="631"/>
      <c r="J52" s="632">
        <f>+J49</f>
        <v>1247694612</v>
      </c>
      <c r="K52" s="633"/>
      <c r="L52" s="602"/>
      <c r="M52" s="631"/>
      <c r="N52" s="631"/>
      <c r="O52" s="632" t="e">
        <f>O51</f>
        <v>#REF!</v>
      </c>
      <c r="P52" s="602"/>
      <c r="Q52" s="631"/>
      <c r="R52" s="631"/>
      <c r="S52" s="634">
        <f>S51</f>
        <v>1183684669.3099999</v>
      </c>
      <c r="T52" s="602"/>
      <c r="U52" s="631"/>
      <c r="V52" s="631"/>
      <c r="W52" s="635">
        <f>W51</f>
        <v>3328196005.3699999</v>
      </c>
      <c r="X52" s="602"/>
      <c r="Y52" s="631"/>
      <c r="Z52" s="631"/>
      <c r="AA52" s="635">
        <f>AA51</f>
        <v>435998018.37</v>
      </c>
      <c r="AB52" s="602"/>
      <c r="AC52" s="631"/>
      <c r="AD52" s="631"/>
      <c r="AE52" s="634">
        <f>AE51</f>
        <v>1285592694</v>
      </c>
      <c r="AF52" s="602"/>
      <c r="AG52" s="631"/>
      <c r="AH52" s="631"/>
      <c r="AI52" s="634">
        <f>AI51</f>
        <v>1324160475</v>
      </c>
    </row>
    <row r="53" spans="1:47" ht="6" customHeight="1" thickBot="1" x14ac:dyDescent="0.3">
      <c r="A53" s="54"/>
      <c r="G53" s="165"/>
      <c r="H53" s="165"/>
      <c r="I53" s="165"/>
      <c r="J53" s="165"/>
      <c r="K53" s="166"/>
      <c r="L53" s="120"/>
      <c r="M53" s="120"/>
      <c r="N53" s="120"/>
      <c r="O53" s="120"/>
      <c r="P53" s="120"/>
      <c r="Q53" s="120"/>
      <c r="R53" s="120"/>
      <c r="S53" s="236"/>
      <c r="T53" s="120"/>
      <c r="U53" s="120"/>
      <c r="V53" s="120"/>
      <c r="W53" s="120"/>
      <c r="X53" s="120"/>
      <c r="Y53" s="120"/>
      <c r="Z53" s="120"/>
      <c r="AA53" s="120"/>
      <c r="AB53" s="120"/>
      <c r="AC53" s="120"/>
      <c r="AD53" s="120"/>
      <c r="AE53" s="120"/>
      <c r="AF53" s="120"/>
      <c r="AG53" s="120"/>
      <c r="AH53" s="120"/>
      <c r="AI53" s="120"/>
    </row>
    <row r="54" spans="1:47" ht="30" customHeight="1" x14ac:dyDescent="0.25">
      <c r="A54" s="609" t="s">
        <v>104</v>
      </c>
      <c r="B54" s="636"/>
      <c r="C54" s="637"/>
      <c r="D54" s="637"/>
      <c r="E54" s="637"/>
      <c r="F54" s="638"/>
      <c r="G54" s="639"/>
      <c r="H54" s="640"/>
      <c r="I54" s="640"/>
      <c r="J54" s="640"/>
      <c r="K54" s="641"/>
      <c r="L54" s="639"/>
      <c r="M54" s="640"/>
      <c r="N54" s="640"/>
      <c r="O54" s="640"/>
      <c r="P54" s="639"/>
      <c r="Q54" s="640"/>
      <c r="R54" s="640"/>
      <c r="S54" s="641"/>
      <c r="T54" s="639"/>
      <c r="U54" s="640"/>
      <c r="V54" s="640"/>
      <c r="W54" s="641"/>
      <c r="X54" s="639"/>
      <c r="Y54" s="640"/>
      <c r="Z54" s="640"/>
      <c r="AA54" s="641"/>
      <c r="AB54" s="639"/>
      <c r="AC54" s="640"/>
      <c r="AD54" s="640"/>
      <c r="AE54" s="641"/>
      <c r="AF54" s="639"/>
      <c r="AG54" s="640"/>
      <c r="AH54" s="640"/>
      <c r="AI54" s="641"/>
    </row>
    <row r="55" spans="1:47" ht="28.5" customHeight="1" x14ac:dyDescent="0.25">
      <c r="A55" s="12" t="s">
        <v>187</v>
      </c>
      <c r="B55" s="18"/>
      <c r="C55" s="19"/>
      <c r="D55" s="19"/>
      <c r="E55" s="19"/>
      <c r="F55" s="20"/>
      <c r="G55" s="133"/>
      <c r="H55" s="134"/>
      <c r="I55" s="134"/>
      <c r="J55" s="147">
        <v>17649946.039999999</v>
      </c>
      <c r="K55" s="135"/>
      <c r="L55" s="105"/>
      <c r="M55" s="106"/>
      <c r="N55" s="106"/>
      <c r="O55" s="147"/>
      <c r="P55" s="105"/>
      <c r="Q55" s="106"/>
      <c r="R55" s="106"/>
      <c r="S55" s="238">
        <v>0</v>
      </c>
      <c r="T55" s="105"/>
      <c r="U55" s="106"/>
      <c r="V55" s="106"/>
      <c r="W55" s="279">
        <v>0</v>
      </c>
      <c r="X55" s="105"/>
      <c r="Y55" s="106"/>
      <c r="Z55" s="106"/>
      <c r="AA55" s="314">
        <v>0</v>
      </c>
      <c r="AB55" s="105"/>
      <c r="AC55" s="106"/>
      <c r="AD55" s="106"/>
      <c r="AE55" s="172">
        <v>21572851</v>
      </c>
      <c r="AF55" s="105"/>
      <c r="AG55" s="106"/>
      <c r="AH55" s="106"/>
      <c r="AI55" s="253">
        <f>+ROUND((AE55*1.03),0)</f>
        <v>22220037</v>
      </c>
    </row>
    <row r="56" spans="1:47" ht="55.5" customHeight="1" x14ac:dyDescent="0.25">
      <c r="A56" s="36" t="s">
        <v>312</v>
      </c>
      <c r="B56" s="18"/>
      <c r="C56" s="19"/>
      <c r="D56" s="19"/>
      <c r="E56" s="19"/>
      <c r="F56" s="20"/>
      <c r="G56" s="123">
        <f>+J56/I56</f>
        <v>1.9845857414470351</v>
      </c>
      <c r="H56" s="134"/>
      <c r="I56" s="154">
        <v>11005950.07</v>
      </c>
      <c r="J56" s="154">
        <v>21842251.579999998</v>
      </c>
      <c r="K56" s="135"/>
      <c r="L56" s="123">
        <v>2</v>
      </c>
      <c r="M56" s="106"/>
      <c r="N56" s="159">
        <v>11183145.869999999</v>
      </c>
      <c r="O56" s="132">
        <v>34823867</v>
      </c>
      <c r="P56" s="123">
        <f>+S56/R56</f>
        <v>1.4622329815986488</v>
      </c>
      <c r="Q56" s="106"/>
      <c r="R56" s="159">
        <v>11811638.67</v>
      </c>
      <c r="S56" s="177">
        <v>17271367.629999999</v>
      </c>
      <c r="T56" s="123">
        <f>+W56/V56</f>
        <v>8.5811989167547917</v>
      </c>
      <c r="U56" s="106"/>
      <c r="V56" s="159">
        <v>13361325.66</v>
      </c>
      <c r="W56" s="177">
        <v>114656193.28</v>
      </c>
      <c r="X56" s="123">
        <f>+AA56/Z56</f>
        <v>1.3923757147508924</v>
      </c>
      <c r="Y56" s="106"/>
      <c r="Z56" s="159">
        <v>14601256.689999999</v>
      </c>
      <c r="AA56" s="177">
        <v>20330435.219999999</v>
      </c>
      <c r="AB56" s="123">
        <f>+AE56/AD56</f>
        <v>3.9163497101536988</v>
      </c>
      <c r="AC56" s="106"/>
      <c r="AD56" s="159">
        <v>15360522.029999999</v>
      </c>
      <c r="AE56" s="174">
        <v>60157176</v>
      </c>
      <c r="AF56" s="123">
        <v>4</v>
      </c>
      <c r="AG56" s="106"/>
      <c r="AH56" s="159">
        <f>+AD56*1.03</f>
        <v>15821337.6909</v>
      </c>
      <c r="AI56" s="174">
        <f>+ROUND((AF56*AH56),0)</f>
        <v>63285351</v>
      </c>
    </row>
    <row r="57" spans="1:47" ht="46.5" customHeight="1" x14ac:dyDescent="0.25">
      <c r="A57" s="36" t="s">
        <v>313</v>
      </c>
      <c r="B57" s="18"/>
      <c r="C57" s="19"/>
      <c r="D57" s="19"/>
      <c r="E57" s="19"/>
      <c r="F57" s="20"/>
      <c r="G57" s="124">
        <f>+J57/I57</f>
        <v>1.984585743409796</v>
      </c>
      <c r="H57" s="162"/>
      <c r="I57" s="159">
        <v>8364629.1500000004</v>
      </c>
      <c r="J57" s="159">
        <v>16600323.76</v>
      </c>
      <c r="K57" s="135"/>
      <c r="L57" s="123">
        <v>2</v>
      </c>
      <c r="M57" s="106"/>
      <c r="N57" s="159">
        <v>8499299.6799999997</v>
      </c>
      <c r="O57" s="132">
        <v>34303829</v>
      </c>
      <c r="P57" s="123"/>
      <c r="Q57" s="106"/>
      <c r="R57" s="154">
        <v>8976960.3200000003</v>
      </c>
      <c r="S57" s="177">
        <v>0</v>
      </c>
      <c r="T57" s="123"/>
      <c r="U57" s="106"/>
      <c r="V57" s="154">
        <v>10154737.51</v>
      </c>
      <c r="W57" s="177">
        <v>0</v>
      </c>
      <c r="X57" s="123">
        <f>+AA57/Z57</f>
        <v>0</v>
      </c>
      <c r="Y57" s="106"/>
      <c r="Z57" s="159">
        <v>11097097.16</v>
      </c>
      <c r="AA57" s="177">
        <v>0</v>
      </c>
      <c r="AB57" s="123">
        <f>+AE57/AD57</f>
        <v>1.9581748925174716</v>
      </c>
      <c r="AC57" s="106"/>
      <c r="AD57" s="159">
        <v>11674146.210000001</v>
      </c>
      <c r="AE57" s="174">
        <v>22860020</v>
      </c>
      <c r="AF57" s="123">
        <v>3</v>
      </c>
      <c r="AG57" s="106"/>
      <c r="AH57" s="159">
        <f>+AD57*1.03</f>
        <v>12024370.5963</v>
      </c>
      <c r="AI57" s="174">
        <f>+ROUND((AF57*AH57),0)</f>
        <v>36073112</v>
      </c>
    </row>
    <row r="58" spans="1:47" ht="47.25" customHeight="1" x14ac:dyDescent="0.25">
      <c r="A58" s="36" t="s">
        <v>314</v>
      </c>
      <c r="B58" s="18"/>
      <c r="C58" s="19"/>
      <c r="D58" s="19"/>
      <c r="E58" s="19"/>
      <c r="F58" s="20"/>
      <c r="G58" s="124">
        <v>5800</v>
      </c>
      <c r="H58" s="169"/>
      <c r="I58" s="159">
        <v>7899.56</v>
      </c>
      <c r="J58" s="159">
        <v>45464344</v>
      </c>
      <c r="K58" s="135"/>
      <c r="L58" s="170">
        <v>5800</v>
      </c>
      <c r="M58" s="153"/>
      <c r="N58" s="154">
        <v>8026.74</v>
      </c>
      <c r="O58" s="132">
        <v>133549159</v>
      </c>
      <c r="P58" s="179">
        <f>+S58/R58</f>
        <v>103485.5664190407</v>
      </c>
      <c r="Q58" s="106"/>
      <c r="R58" s="154">
        <v>8477.84</v>
      </c>
      <c r="S58" s="177">
        <v>877334074.40999997</v>
      </c>
      <c r="T58" s="179">
        <f>+W58/V58</f>
        <v>3274.271677234824</v>
      </c>
      <c r="U58" s="106"/>
      <c r="V58" s="154">
        <v>9590.1299999999992</v>
      </c>
      <c r="W58" s="177">
        <v>31400691.039999999</v>
      </c>
      <c r="X58" s="179">
        <f>+AA58/Z58</f>
        <v>6967.8063119626722</v>
      </c>
      <c r="Y58" s="106"/>
      <c r="Z58" s="159">
        <v>10480.1</v>
      </c>
      <c r="AA58" s="177">
        <v>73023306.930000007</v>
      </c>
      <c r="AB58" s="179">
        <f>+AE58/AD58</f>
        <v>36737.069911637671</v>
      </c>
      <c r="AC58" s="106"/>
      <c r="AD58" s="159">
        <v>11025.06</v>
      </c>
      <c r="AE58" s="174">
        <v>405028400</v>
      </c>
      <c r="AF58" s="179">
        <v>37909</v>
      </c>
      <c r="AG58" s="106"/>
      <c r="AH58" s="159">
        <f>+AD58*1.03</f>
        <v>11355.811799999999</v>
      </c>
      <c r="AI58" s="174">
        <f>+ROUND((AF58*AH58),0)</f>
        <v>430487470</v>
      </c>
    </row>
    <row r="59" spans="1:47" s="23" customFormat="1" ht="30" customHeight="1" x14ac:dyDescent="0.25">
      <c r="A59" s="616" t="s">
        <v>99</v>
      </c>
      <c r="B59" s="617"/>
      <c r="C59" s="544"/>
      <c r="D59" s="544"/>
      <c r="E59" s="544"/>
      <c r="F59" s="546"/>
      <c r="G59" s="547"/>
      <c r="H59" s="548"/>
      <c r="I59" s="548"/>
      <c r="J59" s="642">
        <f>+J55+J56+J57+J58</f>
        <v>101556865.38</v>
      </c>
      <c r="K59" s="643"/>
      <c r="L59" s="644"/>
      <c r="M59" s="645"/>
      <c r="N59" s="645"/>
      <c r="O59" s="642">
        <f>+O55+O56+O57+O58</f>
        <v>202676855</v>
      </c>
      <c r="P59" s="644"/>
      <c r="Q59" s="645"/>
      <c r="R59" s="645"/>
      <c r="S59" s="646">
        <f>+S55+S56+S57+S58</f>
        <v>894605442.03999996</v>
      </c>
      <c r="T59" s="644"/>
      <c r="U59" s="645"/>
      <c r="V59" s="645"/>
      <c r="W59" s="589">
        <f>+W55+W56+W57+W58</f>
        <v>146056884.31999999</v>
      </c>
      <c r="X59" s="644"/>
      <c r="Y59" s="645"/>
      <c r="Z59" s="645"/>
      <c r="AA59" s="646">
        <f>+AA55+AA56+AA57+AA58</f>
        <v>93353742.150000006</v>
      </c>
      <c r="AB59" s="644"/>
      <c r="AC59" s="645"/>
      <c r="AD59" s="645"/>
      <c r="AE59" s="647">
        <f>+AE55+AE56+AE57+AE58</f>
        <v>509618447</v>
      </c>
      <c r="AF59" s="644"/>
      <c r="AG59" s="645"/>
      <c r="AH59" s="645"/>
      <c r="AI59" s="647">
        <f>+AI55+AI56+AI57+AI58</f>
        <v>552065970</v>
      </c>
      <c r="AJ59" s="52"/>
      <c r="AK59" s="52"/>
      <c r="AL59" s="52"/>
      <c r="AM59" s="52"/>
      <c r="AN59" s="52"/>
      <c r="AO59" s="52"/>
      <c r="AP59" s="52"/>
      <c r="AQ59" s="52"/>
      <c r="AR59" s="52"/>
      <c r="AS59" s="52"/>
      <c r="AT59" s="52"/>
      <c r="AU59" s="52"/>
    </row>
    <row r="60" spans="1:47" ht="30" customHeight="1" thickBot="1" x14ac:dyDescent="0.3">
      <c r="A60" s="626" t="s">
        <v>105</v>
      </c>
      <c r="B60" s="627"/>
      <c r="C60" s="599"/>
      <c r="D60" s="599"/>
      <c r="E60" s="599"/>
      <c r="F60" s="601"/>
      <c r="G60" s="602"/>
      <c r="H60" s="603"/>
      <c r="I60" s="603"/>
      <c r="J60" s="604">
        <f>+J59</f>
        <v>101556865.38</v>
      </c>
      <c r="K60" s="648"/>
      <c r="L60" s="649"/>
      <c r="M60" s="650"/>
      <c r="N60" s="650"/>
      <c r="O60" s="604">
        <f>+O59</f>
        <v>202676855</v>
      </c>
      <c r="P60" s="649"/>
      <c r="Q60" s="650"/>
      <c r="R60" s="650"/>
      <c r="S60" s="651">
        <f>+S59</f>
        <v>894605442.03999996</v>
      </c>
      <c r="T60" s="649"/>
      <c r="U60" s="650"/>
      <c r="V60" s="650"/>
      <c r="W60" s="608">
        <f>+W59</f>
        <v>146056884.31999999</v>
      </c>
      <c r="X60" s="649"/>
      <c r="Y60" s="650"/>
      <c r="Z60" s="650"/>
      <c r="AA60" s="651">
        <f>+AA59</f>
        <v>93353742.150000006</v>
      </c>
      <c r="AB60" s="649"/>
      <c r="AC60" s="650"/>
      <c r="AD60" s="650"/>
      <c r="AE60" s="652">
        <f>+AE59</f>
        <v>509618447</v>
      </c>
      <c r="AF60" s="649"/>
      <c r="AG60" s="650"/>
      <c r="AH60" s="650"/>
      <c r="AI60" s="652">
        <f>+AI59</f>
        <v>552065970</v>
      </c>
    </row>
  </sheetData>
  <mergeCells count="21">
    <mergeCell ref="AG9:AH9"/>
    <mergeCell ref="AI9:AI10"/>
    <mergeCell ref="A9:A13"/>
    <mergeCell ref="AC9:AD9"/>
    <mergeCell ref="A1:AE1"/>
    <mergeCell ref="A2:AE2"/>
    <mergeCell ref="A3:AE3"/>
    <mergeCell ref="A5:AE5"/>
    <mergeCell ref="A6:AE6"/>
    <mergeCell ref="AE9:AE10"/>
    <mergeCell ref="Y9:Z9"/>
    <mergeCell ref="U9:V9"/>
    <mergeCell ref="C9:D9"/>
    <mergeCell ref="U7:W7"/>
    <mergeCell ref="Q9:R9"/>
    <mergeCell ref="B8:F8"/>
    <mergeCell ref="G8:K8"/>
    <mergeCell ref="L8:O8"/>
    <mergeCell ref="P8:S8"/>
    <mergeCell ref="M9:N9"/>
    <mergeCell ref="H9:I9"/>
  </mergeCells>
  <printOptions horizontalCentered="1"/>
  <pageMargins left="0.31496062992125984" right="0.31496062992125984" top="0.74803149606299213" bottom="0.74803149606299213" header="0.31496062992125984" footer="0.31496062992125984"/>
  <pageSetup scale="70" orientation="landscape"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Apropiación presupuestal 2025</vt:lpstr>
      <vt:lpstr>FORMULARIO 2 GASTOS</vt:lpstr>
      <vt:lpstr>FORMULARIO 1.1  INGRESOS</vt:lpstr>
      <vt:lpstr>FORMULARIO 1.1 A INGRESOS</vt:lpstr>
      <vt:lpstr>'FORMULARIO 1.1  INGRESOS'!Títulos_a_imprimir</vt:lpstr>
      <vt:lpstr>'FORMULARIO 1.1 A INGRESOS'!Títulos_a_imprimir</vt:lpstr>
      <vt:lpstr>'FORMULARIO 2 GASTOS'!Títulos_a_imprimir</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Balvina rozo Millán</dc:creator>
  <cp:lastModifiedBy>Balvina Rozo Millan</cp:lastModifiedBy>
  <cp:lastPrinted>2025-03-27T13:24:09Z</cp:lastPrinted>
  <dcterms:created xsi:type="dcterms:W3CDTF">2019-02-14T20:21:23Z</dcterms:created>
  <dcterms:modified xsi:type="dcterms:W3CDTF">2025-08-11T20:35:16Z</dcterms:modified>
</cp:coreProperties>
</file>